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95" windowHeight="10185" tabRatio="599" activeTab="0"/>
  </bookViews>
  <sheets>
    <sheet name="Entry" sheetId="1" r:id="rId1"/>
    <sheet name="Estimate" sheetId="2" state="hidden" r:id="rId2"/>
    <sheet name="Documentation" sheetId="3" state="hidden" r:id="rId3"/>
    <sheet name="Sheet1" sheetId="4" state="hidden" r:id="rId4"/>
    <sheet name="Interest" sheetId="5" state="hidden" r:id="rId5"/>
    <sheet name="Principal" sheetId="6" state="hidden" r:id="rId6"/>
    <sheet name="Rates" sheetId="7" state="hidden" r:id="rId7"/>
    <sheet name="Other Calc" sheetId="8" state="hidden" r:id="rId8"/>
  </sheets>
  <definedNames>
    <definedName name="DATABASE">'Interest'!$A$6:$A$47</definedName>
    <definedName name="_xlnm.Print_Area" localSheetId="4">'Interest'!$A$1:$H$47</definedName>
  </definedNames>
  <calcPr fullCalcOnLoad="1"/>
</workbook>
</file>

<file path=xl/sharedStrings.xml><?xml version="1.0" encoding="utf-8"?>
<sst xmlns="http://schemas.openxmlformats.org/spreadsheetml/2006/main" count="236" uniqueCount="198">
  <si>
    <t>New Military Bill</t>
  </si>
  <si>
    <t>Estimate member cost for Military Service prior to IMRF participation</t>
  </si>
  <si>
    <t xml:space="preserve">Member Name: </t>
  </si>
  <si>
    <t>John Smith</t>
  </si>
  <si>
    <t>If Paid</t>
  </si>
  <si>
    <t>Member Cost</t>
  </si>
  <si>
    <t xml:space="preserve">IMRF Start Date: </t>
  </si>
  <si>
    <t xml:space="preserve">Starting Salary: </t>
  </si>
  <si>
    <t xml:space="preserve">Months Purchasing: </t>
  </si>
  <si>
    <t xml:space="preserve">(M)ale or (F)emale: </t>
  </si>
  <si>
    <t>M</t>
  </si>
  <si>
    <t xml:space="preserve">(R)egular or (S)lep: </t>
  </si>
  <si>
    <t>R</t>
  </si>
  <si>
    <t xml:space="preserve">Military Start Dt: </t>
  </si>
  <si>
    <t xml:space="preserve">Military End Dt: </t>
  </si>
  <si>
    <t xml:space="preserve"> </t>
  </si>
  <si>
    <t>You told us:</t>
  </si>
  <si>
    <r>
      <t xml:space="preserve">This is an estimate only.  </t>
    </r>
    <r>
      <rPr>
        <b/>
        <sz val="14"/>
        <rFont val="Arial"/>
        <family val="2"/>
      </rPr>
      <t>Do not</t>
    </r>
    <r>
      <rPr>
        <sz val="12"/>
        <rFont val="Arial"/>
        <family val="2"/>
      </rPr>
      <t xml:space="preserve"> send any money until you send in IMRF form 6.02J</t>
    </r>
  </si>
  <si>
    <t>and DD 214 and receive a payment schedule from our office.</t>
  </si>
  <si>
    <t xml:space="preserve">                       IMRF MILITARY SERVICE CREDIT </t>
  </si>
  <si>
    <t xml:space="preserve">In 1997, legislation was passed to allow IMRF members to purchase up to two years of </t>
  </si>
  <si>
    <t>IMRF service credit for military service. Unlike other “military service” legislation, this allows</t>
  </si>
  <si>
    <t xml:space="preserve"> for the purchase of military service where the service was prior to the date the member</t>
  </si>
  <si>
    <t>began participating with an IMRF employer.  There are both a member cost and an</t>
  </si>
  <si>
    <t>employer cost associated with this service credit.</t>
  </si>
  <si>
    <t xml:space="preserve">member cost for this program. EMPLYR2.XLS allows the employer to estimate the total cost </t>
  </si>
  <si>
    <t>and subtract out the amount paid by the member.</t>
  </si>
  <si>
    <t xml:space="preserve">                       IMRF MEMBER COST ESTIMATE SPREADSHEET</t>
  </si>
  <si>
    <t>spreadsheet. The spreadsheet has protection turned on to prevent the unintentional changing .</t>
  </si>
  <si>
    <t>of a formula (see Protection under the Tools menu)</t>
  </si>
  <si>
    <t>For each member that will establish military credit, enter the following information:</t>
  </si>
  <si>
    <t xml:space="preserve"> - Member Name (optional)</t>
  </si>
  <si>
    <t xml:space="preserve">If you enter the member’s name here, it appears on any printouts you </t>
  </si>
  <si>
    <t>make.</t>
  </si>
  <si>
    <t xml:space="preserve"> - IMRF Start Date (i.e. 08/10/1988)</t>
  </si>
  <si>
    <t xml:space="preserve">This is the date the member started with his/her first IMRF employer (if the </t>
  </si>
  <si>
    <t xml:space="preserve">member had service with another IMRF employer before starting with the </t>
  </si>
  <si>
    <t xml:space="preserve">current employer, this date should be the start date with the first IMRF </t>
  </si>
  <si>
    <t>employer).</t>
  </si>
  <si>
    <t xml:space="preserve">The exact day is not essential, but you should try to enter the correct </t>
  </si>
  <si>
    <t xml:space="preserve">month and year. Enter the date in MM/DD/YYYY format (i.e. August 10, </t>
  </si>
  <si>
    <t>1988 will be 08/10/1988).</t>
  </si>
  <si>
    <t xml:space="preserve">NOTE: IMRF will use the actual start date when the formal payment </t>
  </si>
  <si>
    <t>schedule is prepared.</t>
  </si>
  <si>
    <t xml:space="preserve"> - Starting Salary (i.e. 25000.00)</t>
  </si>
  <si>
    <t xml:space="preserve">This is the member’s starting annual salary. Do NOT use commas when </t>
  </si>
  <si>
    <t>entering the salary, only numbers and decimal points.</t>
  </si>
  <si>
    <t xml:space="preserve">NOTE: IMRF will use the total of the first twelve reported months to </t>
  </si>
  <si>
    <t>determine the annual salary.</t>
  </si>
  <si>
    <t xml:space="preserve"> - Months Purchasing</t>
  </si>
  <si>
    <t xml:space="preserve">This is the number of months that the member is buying. For most </t>
  </si>
  <si>
    <t xml:space="preserve">members this will be 24 months (the maximum allowable). If you enter a </t>
  </si>
  <si>
    <t>right.</t>
  </si>
  <si>
    <t xml:space="preserve"> - (M)ale or (F)emale</t>
  </si>
  <si>
    <t xml:space="preserve">Enter the member’s sex by typing M for male for F for female. You can </t>
  </si>
  <si>
    <t xml:space="preserve">enter either upper or lower case letters. This is used to determine the </t>
  </si>
  <si>
    <t>member contribution rates for years where the rates varied based on</t>
  </si>
  <si>
    <t>the member’s gender. If you enter a letter other than an M or F, an error</t>
  </si>
  <si>
    <t>message displays.</t>
  </si>
  <si>
    <t xml:space="preserve"> - (R)egular or (S)lep</t>
  </si>
  <si>
    <r>
      <t xml:space="preserve">Enter an </t>
    </r>
    <r>
      <rPr>
        <b/>
        <sz val="10"/>
        <rFont val="Arial"/>
        <family val="0"/>
      </rPr>
      <t>R</t>
    </r>
    <r>
      <rPr>
        <sz val="10"/>
        <rFont val="Arial"/>
        <family val="0"/>
      </rPr>
      <t xml:space="preserve"> for members under the regular IMRF plan, or enter an </t>
    </r>
    <r>
      <rPr>
        <b/>
        <sz val="10"/>
        <rFont val="Arial"/>
        <family val="0"/>
      </rPr>
      <t>S</t>
    </r>
    <r>
      <rPr>
        <sz val="10"/>
        <rFont val="Arial"/>
        <family val="0"/>
      </rPr>
      <t xml:space="preserve"> for </t>
    </r>
  </si>
  <si>
    <t xml:space="preserve">members under the SLEP (Sheriff’s Law Enforcement Personnel) plan. You </t>
  </si>
  <si>
    <t xml:space="preserve">can enter either an upper or lower case letter. (If a letter other than R or S is </t>
  </si>
  <si>
    <t>entered, the error  “Pln Err R or S" appears to the right.</t>
  </si>
  <si>
    <t xml:space="preserve"> - Military Start Date</t>
  </si>
  <si>
    <t xml:space="preserve">Enter the month and year the member started their military service. Enter </t>
  </si>
  <si>
    <t xml:space="preserve">the numbers in MM/YYYY format (i.e. March 1962 would be entered as </t>
  </si>
  <si>
    <t xml:space="preserve">03/1962). NOTE: If the year entered is before 1941, an error message </t>
  </si>
  <si>
    <t>displays).</t>
  </si>
  <si>
    <t xml:space="preserve"> - Military End Date</t>
  </si>
  <si>
    <t xml:space="preserve">Enter the month and year the member separated from the military. Enter the </t>
  </si>
  <si>
    <t xml:space="preserve">numbers in MM/YYYY format (i.e. March 1962 would be entered as </t>
  </si>
  <si>
    <t xml:space="preserve">03/1962). NOTE: If the year of the military separation is greater than the </t>
  </si>
  <si>
    <t xml:space="preserve">year the member started, an error message will display. </t>
  </si>
  <si>
    <t xml:space="preserve">Once you have entered the above information, the member cost information displays on </t>
  </si>
  <si>
    <t>the right side of the screen.</t>
  </si>
  <si>
    <t>PRINTING AN ESTIMATE</t>
  </si>
  <si>
    <t xml:space="preserve">The Estimate tab at the bottom of the spreadsheet allows you to go to a second </t>
  </si>
  <si>
    <t>worksheet that is formatted as an estimate letter for the member.</t>
  </si>
  <si>
    <t xml:space="preserve">                       IMRF EMPLOYER COST ESTIMATE SPREADSHEET</t>
  </si>
  <si>
    <t xml:space="preserve">To estimate your employer cost, insert the disk in the drive and open up the </t>
  </si>
  <si>
    <t xml:space="preserve">EMPLYR2.XLS spreadsheet. The spreadsheet has protection turned on to prevent the </t>
  </si>
  <si>
    <t>unintentional changing of a formula (see Protection under the Tools menu).</t>
  </si>
  <si>
    <t xml:space="preserve"> - Members Current Age</t>
  </si>
  <si>
    <t xml:space="preserve"> - Member’s Current Annual Salary</t>
  </si>
  <si>
    <t xml:space="preserve">NOTE: This is the member’s CURRENT annual salary, and not the </t>
  </si>
  <si>
    <t>member’s STARTING salary used to calculate the member cost.</t>
  </si>
  <si>
    <t xml:space="preserve"> - Member’s Military Cost</t>
  </si>
  <si>
    <t xml:space="preserve">This is the amount that you calculated using the Member Cost Estimate </t>
  </si>
  <si>
    <t>Spreadsheet (IMRF_MIL.XLS).</t>
  </si>
  <si>
    <t xml:space="preserve"> - Number of Months Buying</t>
  </si>
  <si>
    <t xml:space="preserve">number greater than 24 or less than 0, the error message “#MthErr” </t>
  </si>
  <si>
    <t>appears in the Estimated Cost of Increased Benefit Column.</t>
  </si>
  <si>
    <t xml:space="preserve"> - (R)egular or (S)LEP Plan</t>
  </si>
  <si>
    <t xml:space="preserve">Enter an R for members under the regular IMRF plan, or enter an S for </t>
  </si>
  <si>
    <t>entered, the error  “Pln Err R or S" appears in the Estimated Cost of</t>
  </si>
  <si>
    <t>Increased Benefit Column).</t>
  </si>
  <si>
    <t xml:space="preserve">Once you have entered the above information, both the Estimated Cost of Increased </t>
  </si>
  <si>
    <t>Benefit and the Estimated Employer Cost display.</t>
  </si>
  <si>
    <r>
      <t>Note:</t>
    </r>
    <r>
      <rPr>
        <sz val="10"/>
        <rFont val="Arial"/>
        <family val="0"/>
      </rPr>
      <t xml:space="preserve">  The cost estimate calculated assumes: a male member with an eligible spouse, that the</t>
    </r>
  </si>
  <si>
    <t xml:space="preserve">          member is vested without the purchase of the military service, and that the member will</t>
  </si>
  <si>
    <t xml:space="preserve">          receive normal salary increases.</t>
  </si>
  <si>
    <r>
      <t xml:space="preserve">          The </t>
    </r>
    <r>
      <rPr>
        <b/>
        <sz val="10"/>
        <rFont val="Arial"/>
        <family val="0"/>
      </rPr>
      <t>actual</t>
    </r>
    <r>
      <rPr>
        <sz val="10"/>
        <rFont val="Arial"/>
        <family val="0"/>
      </rPr>
      <t xml:space="preserve"> cost could be higher due to promotions and other factors that affect salary and</t>
    </r>
  </si>
  <si>
    <t xml:space="preserve">          pension formulas.</t>
  </si>
  <si>
    <t xml:space="preserve">Soc. Sec. </t>
  </si>
  <si>
    <t>Estimate for year</t>
  </si>
  <si>
    <t>6 month</t>
  </si>
  <si>
    <t>Regular</t>
  </si>
  <si>
    <t>Interest</t>
  </si>
  <si>
    <t xml:space="preserve">Initial </t>
  </si>
  <si>
    <t xml:space="preserve">  * * S i x   M o n t h * *</t>
  </si>
  <si>
    <t xml:space="preserve">  * * R e g u l a r * *</t>
  </si>
  <si>
    <t>YEAR</t>
  </si>
  <si>
    <t>Rate</t>
  </si>
  <si>
    <t>Cost</t>
  </si>
  <si>
    <t>Cumulative</t>
  </si>
  <si>
    <t>Calculate Service period</t>
  </si>
  <si>
    <t xml:space="preserve">Start Service: </t>
  </si>
  <si>
    <t xml:space="preserve">End Service: </t>
  </si>
  <si>
    <t xml:space="preserve">Months in Service: </t>
  </si>
  <si>
    <t xml:space="preserve">Mths Mbr wants: </t>
  </si>
  <si>
    <t xml:space="preserve">IMRF Military From: </t>
  </si>
  <si>
    <t xml:space="preserve">IMRF Military To: </t>
  </si>
  <si>
    <t>Calculate Principal Cost - Regular</t>
  </si>
  <si>
    <t xml:space="preserve"># </t>
  </si>
  <si>
    <t>Ovr Wge</t>
  </si>
  <si>
    <t>Wage</t>
  </si>
  <si>
    <t>under</t>
  </si>
  <si>
    <t xml:space="preserve">Over  </t>
  </si>
  <si>
    <t>Year</t>
  </si>
  <si>
    <t>Months</t>
  </si>
  <si>
    <t>Rate 1</t>
  </si>
  <si>
    <t>Bse Rate</t>
  </si>
  <si>
    <t>Base</t>
  </si>
  <si>
    <t>Wages</t>
  </si>
  <si>
    <t>Principal</t>
  </si>
  <si>
    <t>Wge Bse</t>
  </si>
  <si>
    <t>Calculate Principal Cost - SLEP</t>
  </si>
  <si>
    <t>1973 test</t>
  </si>
  <si>
    <t>Line# and # of mths</t>
  </si>
  <si>
    <t>1988 Test</t>
  </si>
  <si>
    <t>Employer</t>
  </si>
  <si>
    <t xml:space="preserve"> *   *   *   *   R     A     T    E     S     *    *     *    *</t>
  </si>
  <si>
    <t xml:space="preserve">SS </t>
  </si>
  <si>
    <t>Addl %</t>
  </si>
  <si>
    <t>Normal</t>
  </si>
  <si>
    <t>Member</t>
  </si>
  <si>
    <t>Male</t>
  </si>
  <si>
    <t>Female</t>
  </si>
  <si>
    <t>SLEP</t>
  </si>
  <si>
    <t>For Over</t>
  </si>
  <si>
    <t>Survivor</t>
  </si>
  <si>
    <t>Wage Base</t>
  </si>
  <si>
    <t>Offset</t>
  </si>
  <si>
    <t xml:space="preserve">  Beginning Principal</t>
  </si>
  <si>
    <t xml:space="preserve">  Portion of First Year Interest Percent</t>
  </si>
  <si>
    <t>Date Converstion</t>
  </si>
  <si>
    <t>January</t>
  </si>
  <si>
    <t>February</t>
  </si>
  <si>
    <t>March</t>
  </si>
  <si>
    <t>April</t>
  </si>
  <si>
    <t>May</t>
  </si>
  <si>
    <t>June</t>
  </si>
  <si>
    <t>July</t>
  </si>
  <si>
    <t>August</t>
  </si>
  <si>
    <t>September</t>
  </si>
  <si>
    <t>October</t>
  </si>
  <si>
    <t>November</t>
  </si>
  <si>
    <t>December</t>
  </si>
  <si>
    <t>Mil Start</t>
  </si>
  <si>
    <t>Mil End</t>
  </si>
  <si>
    <t>IMRF Start</t>
  </si>
  <si>
    <t>Strt Salary</t>
  </si>
  <si>
    <t>Buy Months</t>
  </si>
  <si>
    <t xml:space="preserve">cost </t>
  </si>
  <si>
    <t>Street Address:</t>
  </si>
  <si>
    <t>City, State, Zip code</t>
  </si>
  <si>
    <t>1234 Main St.</t>
  </si>
  <si>
    <t>East Cupcake IL 61600</t>
  </si>
  <si>
    <t xml:space="preserve">Soc. Sec.: </t>
  </si>
  <si>
    <t>123-45-6789</t>
  </si>
  <si>
    <t>Sincerely,</t>
  </si>
  <si>
    <t>Use</t>
  </si>
  <si>
    <t>Remain</t>
  </si>
  <si>
    <t>Start Mon</t>
  </si>
  <si>
    <t>Reg offset</t>
  </si>
  <si>
    <t>SLEP offset</t>
  </si>
  <si>
    <t xml:space="preserve">This estimate process consists of two Excel spreadsheets. IMRF_MIL.XLS  estimates the </t>
  </si>
  <si>
    <t xml:space="preserve">To estimate the member cost,open the IMRF_MIL.XLS </t>
  </si>
  <si>
    <t xml:space="preserve">members this will be 48 months (the maximum allowable). If you enter a </t>
  </si>
  <si>
    <t xml:space="preserve">number greater than 48 or less than 0, an error message appears to the </t>
  </si>
  <si>
    <t>The amounts shown are the member cost if paid in the current year or the next two years.</t>
  </si>
  <si>
    <t>The cost is based on the interest rates that were in effect for each year.</t>
  </si>
  <si>
    <t>Last rate</t>
  </si>
  <si>
    <t>For Payment</t>
  </si>
  <si>
    <t>Review</t>
  </si>
  <si>
    <t>For YE 2018 interest (year 2019 amount due) changed to 7¼% (new investment return assumption)</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</si>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</sst>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
    <numFmt numFmtId="168" formatCode="_(* #,##0.0_);_(* \(#,##0.0\);_(* &quot;-&quot;??_);_(@_)"/>
    <numFmt numFmtId="169" formatCode="_(* #,##0_);_(* \(#,##0\);_(* &quot;-&quot;??_);_(@_)"/>
    <numFmt numFmtId="170" formatCode="mmm\ d\,\ yyyy"/>
    <numFmt numFmtId="171" formatCode="mmmm\ d\,\ yyyy"/>
    <numFmt numFmtId="172" formatCode="&quot;$&quot;#,##0.0_);\(&quot;$&quot;#,##0.0\)"/>
    <numFmt numFmtId="173" formatCode="_(* #,##0.000_);_(* \(#,##0.000\);_(* &quot;-&quot;??_);_(@_)"/>
    <numFmt numFmtId="174" formatCode="0.0000%"/>
  </numFmts>
  <fonts count="46">
    <font>
      <sz val="10"/>
      <name val="Arial"/>
      <family val="0"/>
    </font>
    <font>
      <b/>
      <sz val="10"/>
      <name val="Arial"/>
      <family val="0"/>
    </font>
    <font>
      <i/>
      <sz val="10"/>
      <name val="Arial"/>
      <family val="0"/>
    </font>
    <font>
      <b/>
      <i/>
      <sz val="10"/>
      <name val="Arial"/>
      <family val="0"/>
    </font>
    <font>
      <b/>
      <sz val="14"/>
      <name val="Arial"/>
      <family val="2"/>
    </font>
    <font>
      <b/>
      <sz val="12"/>
      <name val="Arial"/>
      <family val="2"/>
    </font>
    <font>
      <sz val="12"/>
      <name val="Arial"/>
      <family val="2"/>
    </font>
    <font>
      <sz val="12"/>
      <color indexed="39"/>
      <name val="Arial"/>
      <family val="2"/>
    </font>
    <font>
      <b/>
      <sz val="10"/>
      <color indexed="10"/>
      <name val="Arial"/>
      <family val="2"/>
    </font>
    <font>
      <u val="single"/>
      <sz val="10"/>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1" fontId="0" fillId="0" borderId="0" xfId="0" applyNumberFormat="1" applyAlignment="1">
      <alignment/>
    </xf>
    <xf numFmtId="164" fontId="0" fillId="0" borderId="0" xfId="0" applyNumberFormat="1" applyAlignment="1">
      <alignment horizontal="right"/>
    </xf>
    <xf numFmtId="1" fontId="0" fillId="0" borderId="10" xfId="0" applyNumberFormat="1" applyBorder="1" applyAlignment="1">
      <alignment/>
    </xf>
    <xf numFmtId="164" fontId="0" fillId="0" borderId="10" xfId="0" applyNumberFormat="1" applyBorder="1" applyAlignment="1">
      <alignment horizontal="right"/>
    </xf>
    <xf numFmtId="10" fontId="0" fillId="0" borderId="0" xfId="57" applyNumberFormat="1" applyFont="1" applyAlignment="1">
      <alignment/>
    </xf>
    <xf numFmtId="0" fontId="0" fillId="0" borderId="0" xfId="0" applyAlignment="1">
      <alignment horizontal="right"/>
    </xf>
    <xf numFmtId="0" fontId="0" fillId="0" borderId="10" xfId="0" applyBorder="1" applyAlignment="1">
      <alignment horizontal="right"/>
    </xf>
    <xf numFmtId="0" fontId="4" fillId="0" borderId="0" xfId="0" applyFont="1" applyAlignment="1">
      <alignment/>
    </xf>
    <xf numFmtId="43" fontId="0" fillId="0" borderId="0" xfId="42" applyFont="1" applyAlignment="1">
      <alignment/>
    </xf>
    <xf numFmtId="43" fontId="0" fillId="0" borderId="0" xfId="42" applyFont="1" applyAlignment="1">
      <alignment horizontal="right"/>
    </xf>
    <xf numFmtId="43" fontId="0" fillId="0" borderId="10" xfId="42" applyFont="1" applyBorder="1" applyAlignment="1">
      <alignment horizontal="right"/>
    </xf>
    <xf numFmtId="43" fontId="0" fillId="0" borderId="0" xfId="0" applyNumberFormat="1" applyAlignment="1">
      <alignment/>
    </xf>
    <xf numFmtId="0" fontId="0" fillId="0" borderId="10" xfId="0" applyBorder="1" applyAlignment="1">
      <alignment/>
    </xf>
    <xf numFmtId="10" fontId="0" fillId="0" borderId="0" xfId="0" applyNumberFormat="1" applyAlignment="1">
      <alignment/>
    </xf>
    <xf numFmtId="166" fontId="0" fillId="0" borderId="0" xfId="0" applyNumberFormat="1" applyAlignment="1">
      <alignment/>
    </xf>
    <xf numFmtId="14" fontId="0" fillId="0" borderId="0" xfId="0" applyNumberFormat="1" applyAlignment="1">
      <alignment/>
    </xf>
    <xf numFmtId="14" fontId="0" fillId="0" borderId="10" xfId="0" applyNumberFormat="1" applyBorder="1" applyAlignment="1">
      <alignment/>
    </xf>
    <xf numFmtId="17" fontId="0" fillId="33" borderId="11" xfId="0" applyNumberFormat="1" applyFill="1" applyBorder="1" applyAlignment="1" applyProtection="1">
      <alignment/>
      <protection locked="0"/>
    </xf>
    <xf numFmtId="9" fontId="0" fillId="0" borderId="0" xfId="57" applyFont="1" applyAlignment="1">
      <alignment/>
    </xf>
    <xf numFmtId="0" fontId="5" fillId="0" borderId="0" xfId="0" applyFont="1" applyAlignment="1">
      <alignment/>
    </xf>
    <xf numFmtId="0" fontId="0" fillId="0" borderId="0" xfId="0" applyAlignment="1">
      <alignment horizontal="center"/>
    </xf>
    <xf numFmtId="43" fontId="0" fillId="0" borderId="10" xfId="42" applyFont="1" applyBorder="1" applyAlignment="1">
      <alignment/>
    </xf>
    <xf numFmtId="14" fontId="0" fillId="33" borderId="11" xfId="0" applyNumberFormat="1" applyFill="1" applyBorder="1" applyAlignment="1" applyProtection="1">
      <alignment horizontal="center"/>
      <protection locked="0"/>
    </xf>
    <xf numFmtId="43" fontId="0" fillId="33" borderId="11" xfId="42"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1" xfId="0" applyFill="1" applyBorder="1" applyAlignment="1" applyProtection="1">
      <alignment/>
      <protection locked="0"/>
    </xf>
    <xf numFmtId="0" fontId="1" fillId="0" borderId="0" xfId="0" applyFont="1" applyAlignment="1">
      <alignment/>
    </xf>
    <xf numFmtId="1" fontId="1" fillId="0" borderId="0" xfId="0" applyNumberFormat="1" applyFont="1" applyAlignment="1">
      <alignment/>
    </xf>
    <xf numFmtId="43" fontId="1" fillId="0" borderId="0" xfId="42" applyFont="1" applyAlignment="1">
      <alignment/>
    </xf>
    <xf numFmtId="10" fontId="0" fillId="0" borderId="0" xfId="57" applyNumberFormat="1" applyFont="1" applyAlignment="1">
      <alignment horizontal="right"/>
    </xf>
    <xf numFmtId="10" fontId="0" fillId="0" borderId="10" xfId="57" applyNumberFormat="1" applyFont="1" applyBorder="1" applyAlignment="1">
      <alignment horizontal="right"/>
    </xf>
    <xf numFmtId="0" fontId="0" fillId="0" borderId="0" xfId="0" applyBorder="1" applyAlignment="1">
      <alignment/>
    </xf>
    <xf numFmtId="169" fontId="0" fillId="0" borderId="0" xfId="42" applyNumberFormat="1" applyFont="1" applyAlignment="1">
      <alignment/>
    </xf>
    <xf numFmtId="166" fontId="0" fillId="0" borderId="0" xfId="57" applyNumberFormat="1" applyFont="1" applyAlignment="1">
      <alignment/>
    </xf>
    <xf numFmtId="0" fontId="6" fillId="0" borderId="0" xfId="0" applyFont="1" applyAlignment="1">
      <alignment/>
    </xf>
    <xf numFmtId="17" fontId="6" fillId="0" borderId="0" xfId="0" applyNumberFormat="1" applyFont="1" applyAlignment="1">
      <alignment/>
    </xf>
    <xf numFmtId="49" fontId="0" fillId="0" borderId="0" xfId="0" applyNumberFormat="1" applyAlignment="1">
      <alignment/>
    </xf>
    <xf numFmtId="171" fontId="0" fillId="0" borderId="0" xfId="0" applyNumberFormat="1" applyAlignment="1">
      <alignment/>
    </xf>
    <xf numFmtId="7" fontId="0" fillId="0" borderId="0" xfId="0" applyNumberFormat="1" applyAlignment="1">
      <alignment/>
    </xf>
    <xf numFmtId="171" fontId="6" fillId="0" borderId="0" xfId="0" applyNumberFormat="1" applyFont="1" applyAlignment="1">
      <alignment horizontal="left"/>
    </xf>
    <xf numFmtId="0" fontId="7" fillId="0" borderId="0" xfId="0" applyFont="1" applyAlignment="1" applyProtection="1">
      <alignment/>
      <protection locked="0"/>
    </xf>
    <xf numFmtId="44" fontId="6" fillId="0" borderId="0" xfId="44" applyFont="1" applyAlignment="1">
      <alignment/>
    </xf>
    <xf numFmtId="164" fontId="0" fillId="0" borderId="0" xfId="0" applyNumberFormat="1" applyBorder="1" applyAlignment="1">
      <alignment horizontal="right"/>
    </xf>
    <xf numFmtId="0" fontId="8" fillId="0" borderId="0" xfId="0" applyFont="1" applyAlignment="1">
      <alignment/>
    </xf>
    <xf numFmtId="0" fontId="0" fillId="0" borderId="11" xfId="0" applyFill="1" applyBorder="1" applyAlignment="1" applyProtection="1">
      <alignment/>
      <protection/>
    </xf>
    <xf numFmtId="43" fontId="0" fillId="0" borderId="0" xfId="0" applyNumberFormat="1" applyAlignment="1" applyProtection="1">
      <alignment/>
      <protection hidden="1"/>
    </xf>
    <xf numFmtId="0" fontId="0" fillId="0" borderId="0" xfId="0" applyBorder="1" applyAlignment="1">
      <alignment horizontal="right"/>
    </xf>
    <xf numFmtId="0" fontId="0" fillId="0" borderId="12" xfId="0" applyBorder="1" applyAlignment="1">
      <alignment horizontal="center"/>
    </xf>
    <xf numFmtId="43" fontId="0" fillId="0" borderId="13" xfId="42" applyFont="1" applyBorder="1" applyAlignment="1">
      <alignment/>
    </xf>
    <xf numFmtId="0" fontId="0" fillId="0" borderId="14" xfId="0" applyBorder="1" applyAlignment="1">
      <alignment horizontal="center"/>
    </xf>
    <xf numFmtId="43" fontId="0" fillId="0" borderId="15" xfId="42" applyFont="1" applyBorder="1" applyAlignment="1">
      <alignment/>
    </xf>
    <xf numFmtId="0" fontId="1" fillId="0" borderId="16" xfId="0" applyFont="1" applyBorder="1" applyAlignment="1">
      <alignment horizontal="center"/>
    </xf>
    <xf numFmtId="0" fontId="1" fillId="0" borderId="17" xfId="0" applyFont="1" applyBorder="1" applyAlignment="1">
      <alignment horizontal="right"/>
    </xf>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xf>
    <xf numFmtId="0" fontId="9" fillId="0" borderId="0" xfId="0" applyFont="1" applyAlignment="1">
      <alignment/>
    </xf>
    <xf numFmtId="0" fontId="5" fillId="0" borderId="0" xfId="0" applyFont="1" applyAlignment="1">
      <alignment/>
    </xf>
    <xf numFmtId="0" fontId="6" fillId="0" borderId="0" xfId="0" applyFont="1" applyAlignment="1" applyProtection="1">
      <alignment/>
      <protection locked="0"/>
    </xf>
    <xf numFmtId="0" fontId="0" fillId="0" borderId="0" xfId="0" applyAlignment="1" applyProtection="1">
      <alignment horizontal="right"/>
      <protection/>
    </xf>
    <xf numFmtId="0" fontId="10" fillId="0" borderId="0" xfId="0" applyFont="1" applyAlignment="1">
      <alignment horizontal="right"/>
    </xf>
    <xf numFmtId="15" fontId="10" fillId="0" borderId="0" xfId="0" applyNumberFormat="1" applyFont="1" applyAlignment="1">
      <alignment/>
    </xf>
    <xf numFmtId="10" fontId="0" fillId="0" borderId="0" xfId="57" applyNumberFormat="1" applyFont="1" applyAlignment="1">
      <alignment/>
    </xf>
    <xf numFmtId="0" fontId="0" fillId="0" borderId="0" xfId="0" applyFill="1" applyBorder="1" applyAlignment="1">
      <alignment/>
    </xf>
    <xf numFmtId="0" fontId="45" fillId="0" borderId="0" xfId="0" applyFont="1" applyAlignment="1">
      <alignment/>
    </xf>
    <xf numFmtId="43" fontId="0" fillId="0" borderId="0" xfId="42" applyFont="1" applyFill="1" applyBorder="1" applyAlignment="1">
      <alignment horizontal="right"/>
    </xf>
    <xf numFmtId="0" fontId="0" fillId="0" borderId="0" xfId="0" applyAlignment="1">
      <alignment wrapText="1"/>
    </xf>
    <xf numFmtId="0" fontId="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B17" sqref="B17"/>
    </sheetView>
  </sheetViews>
  <sheetFormatPr defaultColWidth="9.140625" defaultRowHeight="12.75"/>
  <cols>
    <col min="1" max="1" width="18.28125" style="0" customWidth="1"/>
    <col min="2" max="2" width="18.00390625" style="0" customWidth="1"/>
    <col min="3" max="3" width="18.421875" style="0" customWidth="1"/>
    <col min="4" max="4" width="13.8515625" style="0" customWidth="1"/>
    <col min="5" max="6" width="12.57421875" style="0" customWidth="1"/>
  </cols>
  <sheetData>
    <row r="1" spans="1:5" ht="18">
      <c r="A1" s="8" t="s">
        <v>0</v>
      </c>
      <c r="D1" s="62"/>
      <c r="E1" s="63"/>
    </row>
    <row r="2" ht="12.75">
      <c r="A2" t="s">
        <v>1</v>
      </c>
    </row>
    <row r="4" spans="1:2" ht="12.75">
      <c r="A4" s="6" t="s">
        <v>2</v>
      </c>
      <c r="B4" s="26" t="s">
        <v>3</v>
      </c>
    </row>
    <row r="5" spans="1:2" ht="12.75">
      <c r="A5" s="61" t="s">
        <v>175</v>
      </c>
      <c r="B5" s="26" t="s">
        <v>177</v>
      </c>
    </row>
    <row r="6" spans="1:2" ht="12.75">
      <c r="A6" s="61" t="s">
        <v>176</v>
      </c>
      <c r="B6" s="26" t="s">
        <v>178</v>
      </c>
    </row>
    <row r="7" spans="1:2" ht="12.75">
      <c r="A7" s="6"/>
      <c r="B7" s="6"/>
    </row>
    <row r="8" spans="1:2" ht="12.75">
      <c r="A8" s="61" t="s">
        <v>179</v>
      </c>
      <c r="B8" s="25" t="s">
        <v>180</v>
      </c>
    </row>
    <row r="9" spans="1:2" ht="12.75">
      <c r="A9" s="6"/>
      <c r="B9" s="6"/>
    </row>
    <row r="10" spans="1:6" ht="13.5" thickBot="1">
      <c r="A10" s="6"/>
      <c r="B10" s="45"/>
      <c r="E10" s="6"/>
      <c r="F10" s="6"/>
    </row>
    <row r="11" spans="1:6" ht="13.5" thickBot="1">
      <c r="A11" s="6"/>
      <c r="D11" s="52" t="s">
        <v>4</v>
      </c>
      <c r="E11" s="53" t="s">
        <v>5</v>
      </c>
      <c r="F11" s="47"/>
    </row>
    <row r="12" spans="1:6" ht="12.75">
      <c r="A12" s="6" t="s">
        <v>6</v>
      </c>
      <c r="B12" s="23">
        <v>39022</v>
      </c>
      <c r="D12" s="48">
        <f>Interest!C2</f>
        <v>2023</v>
      </c>
      <c r="E12" s="49">
        <f>Interest!H80</f>
        <v>35607.420000000006</v>
      </c>
      <c r="F12" s="46"/>
    </row>
    <row r="13" spans="1:5" ht="12.75">
      <c r="A13" s="6" t="s">
        <v>7</v>
      </c>
      <c r="B13" s="24">
        <v>46030.68</v>
      </c>
      <c r="D13" s="48">
        <f>D12+1</f>
        <v>2024</v>
      </c>
      <c r="E13" s="49">
        <f>ROUND(E12*1.0725,2)</f>
        <v>38188.96</v>
      </c>
    </row>
    <row r="14" spans="1:5" ht="13.5" thickBot="1">
      <c r="A14" s="6" t="s">
        <v>8</v>
      </c>
      <c r="B14" s="25">
        <v>24</v>
      </c>
      <c r="C14">
        <f>IF(B14&gt;48,"ERROR, 48 or less","")</f>
      </c>
      <c r="D14" s="50">
        <f>D13+1</f>
        <v>2025</v>
      </c>
      <c r="E14" s="51">
        <f>ROUND(E13*1.0725,2)</f>
        <v>40957.66</v>
      </c>
    </row>
    <row r="15" spans="1:3" ht="12.75">
      <c r="A15" s="6" t="s">
        <v>9</v>
      </c>
      <c r="B15" s="25" t="s">
        <v>10</v>
      </c>
      <c r="C15">
        <f>IF(OR(UPPER(B15)="M",UPPER(B15)="F"),"","ERROR - invalid entry")</f>
      </c>
    </row>
    <row r="16" spans="1:3" ht="12.75">
      <c r="A16" s="6" t="s">
        <v>11</v>
      </c>
      <c r="B16" s="25" t="s">
        <v>12</v>
      </c>
      <c r="C16">
        <f>IF(OR(UPPER(B16)="R",UPPER(B16)="S"),"","ERROR - invalid entry")</f>
      </c>
    </row>
    <row r="17" spans="1:3" ht="12.75">
      <c r="A17" s="6" t="s">
        <v>13</v>
      </c>
      <c r="B17" s="18">
        <v>38292</v>
      </c>
      <c r="C17" s="44">
        <f>IF(YEAR(B17)&lt;1941,"  Invalid Year","")</f>
      </c>
    </row>
    <row r="18" spans="1:3" ht="12.75">
      <c r="A18" s="6" t="s">
        <v>14</v>
      </c>
      <c r="B18" s="18">
        <v>38991</v>
      </c>
      <c r="C18" s="44">
        <f>IF(YEAR(B18)&gt;YEAR(B12),"  Invalid Year","")</f>
      </c>
    </row>
    <row r="19" spans="1:2" ht="12.75">
      <c r="A19" s="6"/>
      <c r="B19" s="15"/>
    </row>
    <row r="20" ht="12.75">
      <c r="A20" s="6"/>
    </row>
    <row r="21" ht="12.75" customHeight="1">
      <c r="A21" s="27"/>
    </row>
    <row r="23" ht="15.75">
      <c r="A23" s="66">
        <f>IF(D12&gt;Rates!N91,"ERROR - need new rates","")</f>
      </c>
    </row>
  </sheetData>
  <sheetProtection/>
  <dataValidations count="2">
    <dataValidation type="list" allowBlank="1" showInputMessage="1" showErrorMessage="1" sqref="B16">
      <formula1>"R, S"</formula1>
    </dataValidation>
    <dataValidation type="list" allowBlank="1" showInputMessage="1" showErrorMessage="1" sqref="B15">
      <formula1>"M,F"</formula1>
    </dataValidation>
  </dataValidation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Y195"/>
  <sheetViews>
    <sheetView zoomScale="80" zoomScaleNormal="80" zoomScalePageLayoutView="0" workbookViewId="0" topLeftCell="A5">
      <selection activeCell="A13" sqref="A13"/>
    </sheetView>
  </sheetViews>
  <sheetFormatPr defaultColWidth="9.140625" defaultRowHeight="12.75"/>
  <cols>
    <col min="1" max="1" width="23.140625" style="0" customWidth="1"/>
    <col min="2" max="2" width="6.57421875" style="0" customWidth="1"/>
    <col min="3" max="3" width="12.28125" style="0" customWidth="1"/>
    <col min="4" max="4" width="15.421875" style="0" customWidth="1"/>
    <col min="5" max="5" width="2.00390625" style="0" customWidth="1"/>
    <col min="6" max="6" width="10.7109375" style="0" customWidth="1"/>
    <col min="7" max="7" width="14.7109375" style="0" customWidth="1"/>
    <col min="8" max="8" width="4.140625" style="0" customWidth="1"/>
  </cols>
  <sheetData>
    <row r="1" spans="1:8" ht="15">
      <c r="A1" s="40">
        <f ca="1">TODAY()</f>
        <v>45268</v>
      </c>
      <c r="B1" s="35"/>
      <c r="C1" s="35"/>
      <c r="D1" s="35"/>
      <c r="E1" s="35"/>
      <c r="F1" s="35"/>
      <c r="G1" s="35"/>
      <c r="H1" s="35"/>
    </row>
    <row r="2" spans="1:8" ht="15">
      <c r="A2" s="35"/>
      <c r="B2" s="35"/>
      <c r="C2" s="35"/>
      <c r="D2" s="35"/>
      <c r="E2" s="35"/>
      <c r="F2" s="35"/>
      <c r="G2" s="35"/>
      <c r="H2" s="35"/>
    </row>
    <row r="3" spans="1:8" ht="15">
      <c r="A3" s="35"/>
      <c r="B3" s="35"/>
      <c r="C3" s="35"/>
      <c r="D3" s="35"/>
      <c r="E3" s="35"/>
      <c r="F3" s="35"/>
      <c r="G3" s="35"/>
      <c r="H3" s="35"/>
    </row>
    <row r="4" spans="1:8" ht="15">
      <c r="A4" s="35" t="str">
        <f>Entry!B4</f>
        <v>John Smith</v>
      </c>
      <c r="B4" s="35"/>
      <c r="C4" s="35"/>
      <c r="D4" s="35"/>
      <c r="E4" s="35"/>
      <c r="F4" s="35"/>
      <c r="G4" s="35"/>
      <c r="H4" s="35"/>
    </row>
    <row r="5" spans="1:8" ht="15">
      <c r="A5" s="60" t="str">
        <f>Entry!B5</f>
        <v>1234 Main St.</v>
      </c>
      <c r="B5" s="35"/>
      <c r="C5" s="35"/>
      <c r="D5" s="35"/>
      <c r="E5" s="35"/>
      <c r="F5" s="35">
        <f>IF(UPPER(Entry!B16)="S","SLEP","")</f>
      </c>
      <c r="G5" s="35"/>
      <c r="H5" s="35"/>
    </row>
    <row r="6" spans="1:8" ht="15">
      <c r="A6" s="60" t="str">
        <f>Entry!B6</f>
        <v>East Cupcake IL 61600</v>
      </c>
      <c r="B6" s="35"/>
      <c r="C6" s="35"/>
      <c r="D6" s="35"/>
      <c r="E6" s="35"/>
      <c r="F6" s="35"/>
      <c r="G6" s="35"/>
      <c r="H6" s="35"/>
    </row>
    <row r="7" spans="1:8" ht="15">
      <c r="A7" s="41" t="s">
        <v>15</v>
      </c>
      <c r="B7" s="35"/>
      <c r="C7" s="35"/>
      <c r="D7" s="35"/>
      <c r="E7" s="35"/>
      <c r="F7" s="35"/>
      <c r="G7" s="35"/>
      <c r="H7" s="35"/>
    </row>
    <row r="8" spans="1:8" ht="15">
      <c r="A8" s="35"/>
      <c r="B8" s="35"/>
      <c r="C8" s="35"/>
      <c r="D8" s="35"/>
      <c r="E8" s="35"/>
      <c r="F8" s="35"/>
      <c r="G8" s="35"/>
      <c r="H8" s="35"/>
    </row>
    <row r="9" spans="1:8" ht="15">
      <c r="A9" s="35"/>
      <c r="B9" s="35"/>
      <c r="C9" s="35"/>
      <c r="D9" s="35"/>
      <c r="E9" s="35"/>
      <c r="F9" s="35"/>
      <c r="G9" s="35"/>
      <c r="H9" s="35"/>
    </row>
    <row r="10" spans="1:8" ht="15">
      <c r="A10" s="41" t="s">
        <v>15</v>
      </c>
      <c r="B10" s="35"/>
      <c r="C10" s="35"/>
      <c r="D10" s="35"/>
      <c r="E10" s="35"/>
      <c r="F10" s="35"/>
      <c r="G10" s="35"/>
      <c r="H10" s="35"/>
    </row>
    <row r="11" spans="1:8" ht="15">
      <c r="A11" s="35"/>
      <c r="B11" s="35"/>
      <c r="C11" s="35"/>
      <c r="D11" s="35"/>
      <c r="E11" s="35"/>
      <c r="F11" s="35"/>
      <c r="G11" s="35"/>
      <c r="H11" s="35"/>
    </row>
    <row r="12" spans="1:9" ht="109.5" customHeight="1">
      <c r="A12" s="69" t="str">
        <f>"This is an estimate of the cost to establish IMRF service credit for periods of military service.  The estimate is based on the military service, service dates, average employer rates and starting IMRF "&amp;"salary that you gave to us.  This is not the actual cost.  The actual cost will be determined after your employer adopts a resolution adopting this option and you send in "&amp;"a completed IMRF form 6.02J with a copy of your DD Form 214, "&amp;Y13&amp;"Armed Forces of the United States Report of Transfer or Discharge"&amp;Y13&amp;". The actual calculation will also use correct employer rates from the years of the military service."</f>
        <v>This is an estimate of the cost to establish IMRF service credit for periods of military service.  The estimate is based on the military service, service dates, average employer rates and starting IMRF salary that you gave to us.  This is not the actual cost.  The actual cost will be determined after your employer adopts a resolution adopting this option and you send in a completed IMRF form 6.02J with a copy of your DD Form 214, "Armed Forces of the United States Report of Transfer or Discharge". The actual calculation will also use correct employer rates from the years of the military service.</v>
      </c>
      <c r="B12" s="69"/>
      <c r="C12" s="69"/>
      <c r="D12" s="69"/>
      <c r="E12" s="69"/>
      <c r="F12" s="69"/>
      <c r="G12" s="69"/>
      <c r="H12" s="69"/>
      <c r="I12" s="69"/>
    </row>
    <row r="13" spans="1:25" ht="15">
      <c r="A13" s="35"/>
      <c r="B13" s="35"/>
      <c r="C13" s="35"/>
      <c r="D13" s="35"/>
      <c r="E13" s="35"/>
      <c r="F13" s="35"/>
      <c r="G13" s="35"/>
      <c r="H13" s="35"/>
      <c r="Y13" t="s">
        <v>197</v>
      </c>
    </row>
    <row r="14" spans="1:8" ht="15">
      <c r="A14" s="35" t="s">
        <v>16</v>
      </c>
      <c r="B14" s="35"/>
      <c r="C14" s="35"/>
      <c r="D14" s="35"/>
      <c r="E14" s="35"/>
      <c r="F14" s="35"/>
      <c r="G14" s="35"/>
      <c r="H14" s="35"/>
    </row>
    <row r="15" spans="1:8" ht="15">
      <c r="A15" s="35"/>
      <c r="B15" s="35"/>
      <c r="C15" s="35"/>
      <c r="D15" s="35"/>
      <c r="E15" s="35"/>
      <c r="F15" s="35"/>
      <c r="G15" s="35"/>
      <c r="H15" s="35"/>
    </row>
    <row r="16" spans="1:8" ht="15">
      <c r="A16" s="35" t="str">
        <f>CONCATENATE("        1)  Your military service was from ",'Other Calc'!D16," to ",'Other Calc'!D17)</f>
        <v>        1)  Your military service was from November 2004 to October 2006</v>
      </c>
      <c r="B16" s="35"/>
      <c r="C16" s="35"/>
      <c r="D16" s="36"/>
      <c r="E16" s="35"/>
      <c r="F16" s="35"/>
      <c r="G16" s="35"/>
      <c r="H16" s="35"/>
    </row>
    <row r="17" spans="1:8" ht="15">
      <c r="A17" s="35" t="str">
        <f>CONCATENATE("        2)  Your first year's IMRF salary was ",'Other Calc'!D20)</f>
        <v>        2)  Your first year's IMRF salary was $46,030.68</v>
      </c>
      <c r="B17" s="35"/>
      <c r="C17" s="35"/>
      <c r="D17" s="35"/>
      <c r="E17" s="35"/>
      <c r="F17" s="35"/>
      <c r="G17" s="35"/>
      <c r="H17" s="35"/>
    </row>
    <row r="18" spans="1:8" ht="15">
      <c r="A18" s="35"/>
      <c r="B18" s="35"/>
      <c r="C18" s="35"/>
      <c r="D18" s="35"/>
      <c r="E18" s="35"/>
      <c r="F18" s="35"/>
      <c r="G18" s="35"/>
      <c r="H18" s="35"/>
    </row>
    <row r="19" spans="1:8" ht="15">
      <c r="A19" s="35" t="str">
        <f>CONCATENATE("Based on this, we estimate the cost to purchase ",Principal!D10," months of IMRF service credit to be:")</f>
        <v>Based on this, we estimate the cost to purchase 24 months of IMRF service credit to be:</v>
      </c>
      <c r="B19" s="35"/>
      <c r="C19" s="35"/>
      <c r="D19" s="35"/>
      <c r="E19" s="35"/>
      <c r="F19" s="35"/>
      <c r="G19" s="35"/>
      <c r="H19" s="35"/>
    </row>
    <row r="20" spans="1:8" ht="15">
      <c r="A20" s="35"/>
      <c r="B20" s="35"/>
      <c r="C20" s="35"/>
      <c r="D20" s="35"/>
      <c r="E20" s="35"/>
      <c r="F20" s="35"/>
      <c r="G20" s="35"/>
      <c r="H20" s="35"/>
    </row>
    <row r="21" spans="1:8" ht="15">
      <c r="A21" s="35" t="str">
        <f>CONCATENATE("       If paid in ",FIXED(Entry!D12,0,TRUE))</f>
        <v>       If paid in 2023</v>
      </c>
      <c r="B21" s="35"/>
      <c r="C21" s="35"/>
      <c r="D21" s="42">
        <f>Entry!E12</f>
        <v>35607.420000000006</v>
      </c>
      <c r="E21" s="35"/>
      <c r="F21" s="35"/>
      <c r="G21" s="35"/>
      <c r="H21" s="35"/>
    </row>
    <row r="22" spans="1:8" ht="15">
      <c r="A22" s="35" t="str">
        <f>CONCATENATE("       If paid in ",FIXED(Entry!D13,0,TRUE))</f>
        <v>       If paid in 2024</v>
      </c>
      <c r="B22" s="35"/>
      <c r="C22" s="35"/>
      <c r="D22" s="42">
        <f>Entry!E13</f>
        <v>38188.96</v>
      </c>
      <c r="E22" s="35"/>
      <c r="F22" s="35"/>
      <c r="G22" s="35"/>
      <c r="H22" s="35"/>
    </row>
    <row r="23" spans="1:8" ht="15">
      <c r="A23" s="35" t="str">
        <f>CONCATENATE("       If paid in ",FIXED(Entry!D14,0,TRUE))</f>
        <v>       If paid in 2025</v>
      </c>
      <c r="B23" s="35"/>
      <c r="C23" s="35"/>
      <c r="D23" s="42">
        <f>Entry!E14</f>
        <v>40957.66</v>
      </c>
      <c r="E23" s="35"/>
      <c r="F23" s="35"/>
      <c r="G23" s="35"/>
      <c r="H23" s="35"/>
    </row>
    <row r="24" spans="1:8" ht="15">
      <c r="A24" s="35"/>
      <c r="B24" s="35"/>
      <c r="C24" s="35"/>
      <c r="D24" s="35"/>
      <c r="E24" s="35"/>
      <c r="F24" s="35"/>
      <c r="G24" s="35"/>
      <c r="H24" s="35"/>
    </row>
    <row r="25" spans="1:8" ht="18">
      <c r="A25" s="35" t="s">
        <v>17</v>
      </c>
      <c r="B25" s="35"/>
      <c r="C25" s="35"/>
      <c r="D25" s="35"/>
      <c r="E25" s="35"/>
      <c r="F25" s="35"/>
      <c r="G25" s="35"/>
      <c r="H25" s="35"/>
    </row>
    <row r="26" spans="1:8" ht="15">
      <c r="A26" s="35" t="s">
        <v>18</v>
      </c>
      <c r="B26" s="35"/>
      <c r="C26" s="35"/>
      <c r="D26" s="35"/>
      <c r="E26" s="35"/>
      <c r="F26" s="35"/>
      <c r="G26" s="35"/>
      <c r="H26" s="35"/>
    </row>
    <row r="27" spans="1:8" ht="15">
      <c r="A27" s="35"/>
      <c r="B27" s="35"/>
      <c r="C27" s="35"/>
      <c r="D27" s="35"/>
      <c r="E27" s="35"/>
      <c r="F27" s="35"/>
      <c r="G27" s="35"/>
      <c r="H27" s="35"/>
    </row>
    <row r="28" spans="1:8" ht="15">
      <c r="A28" s="35" t="s">
        <v>15</v>
      </c>
      <c r="B28" s="35"/>
      <c r="C28" s="35"/>
      <c r="D28" s="35"/>
      <c r="E28" s="35"/>
      <c r="F28" s="35"/>
      <c r="G28" s="35"/>
      <c r="H28" s="35"/>
    </row>
    <row r="29" spans="1:8" ht="15">
      <c r="A29" s="35"/>
      <c r="B29" s="35"/>
      <c r="C29" s="35"/>
      <c r="D29" s="35"/>
      <c r="E29" s="35"/>
      <c r="F29" s="35"/>
      <c r="G29" s="35"/>
      <c r="H29" s="35"/>
    </row>
    <row r="30" spans="1:8" ht="15">
      <c r="A30" s="35" t="s">
        <v>181</v>
      </c>
      <c r="B30" s="35"/>
      <c r="C30" s="35"/>
      <c r="D30" s="35"/>
      <c r="E30" s="35"/>
      <c r="F30" s="35"/>
      <c r="G30" s="35"/>
      <c r="H30" s="35"/>
    </row>
    <row r="31" spans="1:8" ht="15">
      <c r="A31" s="35"/>
      <c r="B31" s="35"/>
      <c r="C31" s="35"/>
      <c r="D31" s="35"/>
      <c r="E31" s="35"/>
      <c r="F31" s="35"/>
      <c r="G31" s="35"/>
      <c r="H31" s="35"/>
    </row>
    <row r="32" spans="1:8" ht="15">
      <c r="A32" s="35"/>
      <c r="B32" s="35"/>
      <c r="C32" s="35"/>
      <c r="D32" s="35"/>
      <c r="E32" s="35"/>
      <c r="F32" s="35"/>
      <c r="G32" s="35"/>
      <c r="H32" s="35"/>
    </row>
    <row r="33" spans="1:8" ht="15">
      <c r="A33" s="35"/>
      <c r="B33" s="35"/>
      <c r="C33" s="35"/>
      <c r="D33" s="35"/>
      <c r="E33" s="35"/>
      <c r="F33" s="35"/>
      <c r="G33" s="35"/>
      <c r="H33" s="35"/>
    </row>
    <row r="34" spans="1:8" ht="15">
      <c r="A34" s="35"/>
      <c r="B34" s="35"/>
      <c r="C34" s="35"/>
      <c r="D34" s="35"/>
      <c r="E34" s="35"/>
      <c r="F34" s="35"/>
      <c r="G34" s="35"/>
      <c r="H34" s="35"/>
    </row>
    <row r="35" spans="1:8" ht="15">
      <c r="A35" s="35"/>
      <c r="B35" s="35"/>
      <c r="C35" s="35"/>
      <c r="D35" s="35"/>
      <c r="E35" s="35"/>
      <c r="F35" s="35"/>
      <c r="G35" s="35"/>
      <c r="H35" s="35"/>
    </row>
    <row r="36" spans="1:8" ht="15">
      <c r="A36" s="35"/>
      <c r="B36" s="35"/>
      <c r="C36" s="35"/>
      <c r="D36" s="35"/>
      <c r="E36" s="35"/>
      <c r="F36" s="35"/>
      <c r="G36" s="35"/>
      <c r="H36" s="35"/>
    </row>
    <row r="37" spans="1:8" ht="15">
      <c r="A37" s="35"/>
      <c r="B37" s="35"/>
      <c r="C37" s="35"/>
      <c r="D37" s="35"/>
      <c r="E37" s="35"/>
      <c r="F37" s="35"/>
      <c r="G37" s="35"/>
      <c r="H37" s="35"/>
    </row>
    <row r="38" spans="1:8" ht="15">
      <c r="A38" s="35"/>
      <c r="B38" s="35"/>
      <c r="C38" s="35"/>
      <c r="D38" s="35"/>
      <c r="E38" s="35"/>
      <c r="F38" s="35"/>
      <c r="G38" s="35"/>
      <c r="H38" s="35"/>
    </row>
    <row r="39" spans="1:8" ht="15">
      <c r="A39" s="35"/>
      <c r="B39" s="35"/>
      <c r="C39" s="35"/>
      <c r="D39" s="35"/>
      <c r="E39" s="35"/>
      <c r="F39" s="35"/>
      <c r="G39" s="35"/>
      <c r="H39" s="35"/>
    </row>
    <row r="40" spans="1:8" ht="15">
      <c r="A40" s="35"/>
      <c r="B40" s="35"/>
      <c r="C40" s="35"/>
      <c r="D40" s="35"/>
      <c r="E40" s="35"/>
      <c r="F40" s="35"/>
      <c r="G40" s="35"/>
      <c r="H40" s="35"/>
    </row>
    <row r="41" spans="1:8" ht="15">
      <c r="A41" s="35"/>
      <c r="B41" s="35"/>
      <c r="C41" s="35"/>
      <c r="D41" s="35"/>
      <c r="E41" s="35"/>
      <c r="F41" s="35"/>
      <c r="G41" s="35"/>
      <c r="H41" s="35"/>
    </row>
    <row r="42" spans="1:8" ht="15">
      <c r="A42" s="35"/>
      <c r="B42" s="35"/>
      <c r="C42" s="35"/>
      <c r="D42" s="35"/>
      <c r="E42" s="35"/>
      <c r="F42" s="35"/>
      <c r="G42" s="35"/>
      <c r="H42" s="35"/>
    </row>
    <row r="43" spans="1:8" ht="15">
      <c r="A43" s="35"/>
      <c r="B43" s="35"/>
      <c r="C43" s="35"/>
      <c r="D43" s="35"/>
      <c r="E43" s="35"/>
      <c r="F43" s="35"/>
      <c r="G43" s="35"/>
      <c r="H43" s="35"/>
    </row>
    <row r="44" spans="1:8" ht="15">
      <c r="A44" s="35"/>
      <c r="B44" s="35"/>
      <c r="C44" s="35"/>
      <c r="D44" s="35"/>
      <c r="E44" s="35"/>
      <c r="F44" s="35"/>
      <c r="G44" s="35"/>
      <c r="H44" s="35"/>
    </row>
    <row r="45" spans="1:8" ht="15">
      <c r="A45" s="35"/>
      <c r="B45" s="35"/>
      <c r="C45" s="35"/>
      <c r="D45" s="35"/>
      <c r="E45" s="35"/>
      <c r="F45" s="35"/>
      <c r="G45" s="35"/>
      <c r="H45" s="35"/>
    </row>
    <row r="46" spans="1:8" ht="15">
      <c r="A46" s="35"/>
      <c r="B46" s="35"/>
      <c r="C46" s="35"/>
      <c r="D46" s="35"/>
      <c r="E46" s="35"/>
      <c r="F46" s="35"/>
      <c r="G46" s="35"/>
      <c r="H46" s="35"/>
    </row>
    <row r="47" spans="1:8" ht="15">
      <c r="A47" s="35"/>
      <c r="B47" s="35"/>
      <c r="C47" s="35"/>
      <c r="D47" s="35"/>
      <c r="E47" s="35"/>
      <c r="F47" s="35"/>
      <c r="G47" s="35"/>
      <c r="H47" s="35"/>
    </row>
    <row r="48" spans="1:8" ht="15">
      <c r="A48" s="35"/>
      <c r="B48" s="35"/>
      <c r="C48" s="35"/>
      <c r="D48" s="35"/>
      <c r="E48" s="35"/>
      <c r="F48" s="35"/>
      <c r="G48" s="35"/>
      <c r="H48" s="35"/>
    </row>
    <row r="49" spans="1:8" ht="15">
      <c r="A49" s="35"/>
      <c r="B49" s="35"/>
      <c r="C49" s="35"/>
      <c r="D49" s="35"/>
      <c r="E49" s="35"/>
      <c r="F49" s="35"/>
      <c r="G49" s="35"/>
      <c r="H49" s="35"/>
    </row>
    <row r="50" spans="1:8" ht="15">
      <c r="A50" s="35"/>
      <c r="B50" s="35"/>
      <c r="C50" s="35"/>
      <c r="D50" s="35"/>
      <c r="E50" s="35"/>
      <c r="F50" s="35"/>
      <c r="G50" s="35"/>
      <c r="H50" s="35"/>
    </row>
    <row r="51" spans="1:8" ht="15">
      <c r="A51" s="35"/>
      <c r="B51" s="35"/>
      <c r="C51" s="35"/>
      <c r="D51" s="35"/>
      <c r="E51" s="35"/>
      <c r="F51" s="35"/>
      <c r="G51" s="35"/>
      <c r="H51" s="35"/>
    </row>
    <row r="52" spans="1:8" ht="15">
      <c r="A52" s="35"/>
      <c r="B52" s="35"/>
      <c r="C52" s="35"/>
      <c r="D52" s="35"/>
      <c r="E52" s="35"/>
      <c r="F52" s="35"/>
      <c r="G52" s="35"/>
      <c r="H52" s="35"/>
    </row>
    <row r="53" spans="1:8" ht="15">
      <c r="A53" s="35"/>
      <c r="B53" s="35"/>
      <c r="C53" s="35"/>
      <c r="D53" s="35"/>
      <c r="E53" s="35"/>
      <c r="F53" s="35"/>
      <c r="G53" s="35"/>
      <c r="H53" s="35"/>
    </row>
    <row r="54" spans="1:8" ht="15">
      <c r="A54" s="35"/>
      <c r="B54" s="35"/>
      <c r="C54" s="35"/>
      <c r="D54" s="35"/>
      <c r="E54" s="35"/>
      <c r="F54" s="35"/>
      <c r="G54" s="35"/>
      <c r="H54" s="35"/>
    </row>
    <row r="55" spans="1:8" ht="15">
      <c r="A55" s="35"/>
      <c r="B55" s="35"/>
      <c r="C55" s="35"/>
      <c r="D55" s="35"/>
      <c r="E55" s="35"/>
      <c r="F55" s="35"/>
      <c r="G55" s="35"/>
      <c r="H55" s="35"/>
    </row>
    <row r="56" spans="1:8" ht="15">
      <c r="A56" s="35"/>
      <c r="B56" s="35"/>
      <c r="C56" s="35"/>
      <c r="D56" s="35"/>
      <c r="E56" s="35"/>
      <c r="F56" s="35"/>
      <c r="G56" s="35"/>
      <c r="H56" s="35"/>
    </row>
    <row r="57" spans="1:8" ht="15">
      <c r="A57" s="35"/>
      <c r="B57" s="35"/>
      <c r="C57" s="35"/>
      <c r="D57" s="35"/>
      <c r="E57" s="35"/>
      <c r="F57" s="35"/>
      <c r="G57" s="35"/>
      <c r="H57" s="35"/>
    </row>
    <row r="58" spans="1:8" ht="15">
      <c r="A58" s="35"/>
      <c r="B58" s="35"/>
      <c r="C58" s="35"/>
      <c r="D58" s="35"/>
      <c r="E58" s="35"/>
      <c r="F58" s="35"/>
      <c r="G58" s="35"/>
      <c r="H58" s="35"/>
    </row>
    <row r="59" spans="1:8" ht="15">
      <c r="A59" s="35"/>
      <c r="B59" s="35"/>
      <c r="C59" s="35"/>
      <c r="D59" s="35"/>
      <c r="E59" s="35"/>
      <c r="F59" s="35"/>
      <c r="G59" s="35"/>
      <c r="H59" s="35"/>
    </row>
    <row r="60" spans="1:8" ht="15">
      <c r="A60" s="35"/>
      <c r="B60" s="35"/>
      <c r="C60" s="35"/>
      <c r="D60" s="35"/>
      <c r="E60" s="35"/>
      <c r="F60" s="35"/>
      <c r="G60" s="35"/>
      <c r="H60" s="35"/>
    </row>
    <row r="61" spans="1:8" ht="15">
      <c r="A61" s="35"/>
      <c r="B61" s="35"/>
      <c r="C61" s="35"/>
      <c r="D61" s="35"/>
      <c r="E61" s="35"/>
      <c r="F61" s="35"/>
      <c r="G61" s="35"/>
      <c r="H61" s="35"/>
    </row>
    <row r="62" spans="1:8" ht="15">
      <c r="A62" s="35"/>
      <c r="B62" s="35"/>
      <c r="C62" s="35"/>
      <c r="D62" s="35"/>
      <c r="E62" s="35"/>
      <c r="F62" s="35"/>
      <c r="G62" s="35"/>
      <c r="H62" s="35"/>
    </row>
    <row r="63" spans="1:8" ht="15">
      <c r="A63" s="35"/>
      <c r="B63" s="35"/>
      <c r="C63" s="35"/>
      <c r="D63" s="35"/>
      <c r="E63" s="35"/>
      <c r="F63" s="35"/>
      <c r="G63" s="35"/>
      <c r="H63" s="35"/>
    </row>
    <row r="64" spans="1:8" ht="15">
      <c r="A64" s="35"/>
      <c r="B64" s="35"/>
      <c r="C64" s="35"/>
      <c r="D64" s="35"/>
      <c r="E64" s="35"/>
      <c r="F64" s="35"/>
      <c r="G64" s="35"/>
      <c r="H64" s="35"/>
    </row>
    <row r="65" spans="1:8" ht="15">
      <c r="A65" s="35"/>
      <c r="B65" s="35"/>
      <c r="C65" s="35"/>
      <c r="D65" s="35"/>
      <c r="E65" s="35"/>
      <c r="F65" s="35"/>
      <c r="G65" s="35"/>
      <c r="H65" s="35"/>
    </row>
    <row r="66" spans="1:8" ht="15">
      <c r="A66" s="35"/>
      <c r="B66" s="35"/>
      <c r="C66" s="35"/>
      <c r="D66" s="35"/>
      <c r="E66" s="35"/>
      <c r="F66" s="35"/>
      <c r="G66" s="35"/>
      <c r="H66" s="35"/>
    </row>
    <row r="67" spans="1:8" ht="15">
      <c r="A67" s="35"/>
      <c r="B67" s="35"/>
      <c r="C67" s="35"/>
      <c r="D67" s="35"/>
      <c r="E67" s="35"/>
      <c r="F67" s="35"/>
      <c r="G67" s="35"/>
      <c r="H67" s="35"/>
    </row>
    <row r="68" spans="1:8" ht="15">
      <c r="A68" s="35"/>
      <c r="B68" s="35"/>
      <c r="C68" s="35"/>
      <c r="D68" s="35"/>
      <c r="E68" s="35"/>
      <c r="F68" s="35"/>
      <c r="G68" s="35"/>
      <c r="H68" s="35"/>
    </row>
    <row r="69" spans="1:8" ht="15">
      <c r="A69" s="35"/>
      <c r="B69" s="35"/>
      <c r="C69" s="35"/>
      <c r="D69" s="35"/>
      <c r="E69" s="35"/>
      <c r="F69" s="35"/>
      <c r="G69" s="35"/>
      <c r="H69" s="35"/>
    </row>
    <row r="70" spans="1:8" ht="15">
      <c r="A70" s="35"/>
      <c r="B70" s="35"/>
      <c r="C70" s="35"/>
      <c r="D70" s="35"/>
      <c r="E70" s="35"/>
      <c r="F70" s="35"/>
      <c r="G70" s="35"/>
      <c r="H70" s="35"/>
    </row>
    <row r="71" spans="1:8" ht="15">
      <c r="A71" s="35"/>
      <c r="B71" s="35"/>
      <c r="C71" s="35"/>
      <c r="D71" s="35"/>
      <c r="E71" s="35"/>
      <c r="F71" s="35"/>
      <c r="G71" s="35"/>
      <c r="H71" s="35"/>
    </row>
    <row r="72" spans="1:8" ht="15">
      <c r="A72" s="35"/>
      <c r="B72" s="35"/>
      <c r="C72" s="35"/>
      <c r="D72" s="35"/>
      <c r="E72" s="35"/>
      <c r="F72" s="35"/>
      <c r="G72" s="35"/>
      <c r="H72" s="35"/>
    </row>
    <row r="73" spans="1:8" ht="15">
      <c r="A73" s="35"/>
      <c r="B73" s="35"/>
      <c r="C73" s="35"/>
      <c r="D73" s="35"/>
      <c r="E73" s="35"/>
      <c r="F73" s="35"/>
      <c r="G73" s="35"/>
      <c r="H73" s="35"/>
    </row>
    <row r="74" spans="1:8" ht="15">
      <c r="A74" s="35"/>
      <c r="B74" s="35"/>
      <c r="C74" s="35"/>
      <c r="D74" s="35"/>
      <c r="E74" s="35"/>
      <c r="F74" s="35"/>
      <c r="G74" s="35"/>
      <c r="H74" s="35"/>
    </row>
    <row r="75" spans="1:8" ht="15">
      <c r="A75" s="35"/>
      <c r="B75" s="35"/>
      <c r="C75" s="35"/>
      <c r="D75" s="35"/>
      <c r="E75" s="35"/>
      <c r="F75" s="35"/>
      <c r="G75" s="35"/>
      <c r="H75" s="35"/>
    </row>
    <row r="76" spans="1:8" ht="15">
      <c r="A76" s="35"/>
      <c r="B76" s="35"/>
      <c r="C76" s="35"/>
      <c r="D76" s="35"/>
      <c r="E76" s="35"/>
      <c r="F76" s="35"/>
      <c r="G76" s="35"/>
      <c r="H76" s="35"/>
    </row>
    <row r="77" spans="1:8" ht="15">
      <c r="A77" s="35"/>
      <c r="B77" s="35"/>
      <c r="C77" s="35"/>
      <c r="D77" s="35"/>
      <c r="E77" s="35"/>
      <c r="F77" s="35"/>
      <c r="G77" s="35"/>
      <c r="H77" s="35"/>
    </row>
    <row r="78" spans="1:8" ht="15">
      <c r="A78" s="35"/>
      <c r="B78" s="35"/>
      <c r="C78" s="35"/>
      <c r="D78" s="35"/>
      <c r="E78" s="35"/>
      <c r="F78" s="35"/>
      <c r="G78" s="35"/>
      <c r="H78" s="35"/>
    </row>
    <row r="79" spans="1:8" ht="15">
      <c r="A79" s="35"/>
      <c r="B79" s="35"/>
      <c r="C79" s="35"/>
      <c r="D79" s="35"/>
      <c r="E79" s="35"/>
      <c r="F79" s="35"/>
      <c r="G79" s="35"/>
      <c r="H79" s="35"/>
    </row>
    <row r="80" spans="1:8" ht="15">
      <c r="A80" s="35"/>
      <c r="B80" s="35"/>
      <c r="C80" s="35"/>
      <c r="D80" s="35"/>
      <c r="E80" s="35"/>
      <c r="F80" s="35"/>
      <c r="G80" s="35"/>
      <c r="H80" s="35"/>
    </row>
    <row r="81" spans="1:8" ht="15">
      <c r="A81" s="35"/>
      <c r="B81" s="35"/>
      <c r="C81" s="35"/>
      <c r="D81" s="35"/>
      <c r="E81" s="35"/>
      <c r="F81" s="35"/>
      <c r="G81" s="35"/>
      <c r="H81" s="35"/>
    </row>
    <row r="82" spans="1:8" ht="15">
      <c r="A82" s="35"/>
      <c r="B82" s="35"/>
      <c r="C82" s="35"/>
      <c r="D82" s="35"/>
      <c r="E82" s="35"/>
      <c r="F82" s="35"/>
      <c r="G82" s="35"/>
      <c r="H82" s="35"/>
    </row>
    <row r="83" spans="1:8" ht="15">
      <c r="A83" s="35"/>
      <c r="B83" s="35"/>
      <c r="C83" s="35"/>
      <c r="D83" s="35"/>
      <c r="E83" s="35"/>
      <c r="F83" s="35"/>
      <c r="G83" s="35"/>
      <c r="H83" s="35"/>
    </row>
    <row r="84" spans="1:8" ht="15">
      <c r="A84" s="35"/>
      <c r="B84" s="35"/>
      <c r="C84" s="35"/>
      <c r="D84" s="35"/>
      <c r="E84" s="35"/>
      <c r="F84" s="35"/>
      <c r="G84" s="35"/>
      <c r="H84" s="35"/>
    </row>
    <row r="85" spans="1:8" ht="15">
      <c r="A85" s="35"/>
      <c r="B85" s="35"/>
      <c r="C85" s="35"/>
      <c r="D85" s="35"/>
      <c r="E85" s="35"/>
      <c r="F85" s="35"/>
      <c r="G85" s="35"/>
      <c r="H85" s="35"/>
    </row>
    <row r="86" spans="1:8" ht="15">
      <c r="A86" s="35"/>
      <c r="B86" s="35"/>
      <c r="C86" s="35"/>
      <c r="D86" s="35"/>
      <c r="E86" s="35"/>
      <c r="F86" s="35"/>
      <c r="G86" s="35"/>
      <c r="H86" s="35"/>
    </row>
    <row r="87" spans="1:8" ht="15">
      <c r="A87" s="35"/>
      <c r="B87" s="35"/>
      <c r="C87" s="35"/>
      <c r="D87" s="35"/>
      <c r="E87" s="35"/>
      <c r="F87" s="35"/>
      <c r="G87" s="35"/>
      <c r="H87" s="35"/>
    </row>
    <row r="88" spans="1:8" ht="15">
      <c r="A88" s="35"/>
      <c r="B88" s="35"/>
      <c r="C88" s="35"/>
      <c r="D88" s="35"/>
      <c r="E88" s="35"/>
      <c r="F88" s="35"/>
      <c r="G88" s="35"/>
      <c r="H88" s="35"/>
    </row>
    <row r="89" spans="1:8" ht="15">
      <c r="A89" s="35"/>
      <c r="B89" s="35"/>
      <c r="C89" s="35"/>
      <c r="D89" s="35"/>
      <c r="E89" s="35"/>
      <c r="F89" s="35"/>
      <c r="G89" s="35"/>
      <c r="H89" s="35"/>
    </row>
    <row r="90" spans="1:8" ht="15">
      <c r="A90" s="35"/>
      <c r="B90" s="35"/>
      <c r="C90" s="35"/>
      <c r="D90" s="35"/>
      <c r="E90" s="35"/>
      <c r="F90" s="35"/>
      <c r="G90" s="35"/>
      <c r="H90" s="35"/>
    </row>
    <row r="91" spans="1:8" ht="15">
      <c r="A91" s="35"/>
      <c r="B91" s="35"/>
      <c r="C91" s="35"/>
      <c r="D91" s="35"/>
      <c r="E91" s="35"/>
      <c r="F91" s="35"/>
      <c r="G91" s="35"/>
      <c r="H91" s="35"/>
    </row>
    <row r="92" spans="1:8" ht="15">
      <c r="A92" s="35"/>
      <c r="B92" s="35"/>
      <c r="C92" s="35"/>
      <c r="D92" s="35"/>
      <c r="E92" s="35"/>
      <c r="F92" s="35"/>
      <c r="G92" s="35"/>
      <c r="H92" s="35"/>
    </row>
    <row r="93" spans="1:8" ht="15">
      <c r="A93" s="35"/>
      <c r="B93" s="35"/>
      <c r="C93" s="35"/>
      <c r="D93" s="35"/>
      <c r="E93" s="35"/>
      <c r="F93" s="35"/>
      <c r="G93" s="35"/>
      <c r="H93" s="35"/>
    </row>
    <row r="94" spans="1:8" ht="15">
      <c r="A94" s="35"/>
      <c r="B94" s="35"/>
      <c r="C94" s="35"/>
      <c r="D94" s="35"/>
      <c r="E94" s="35"/>
      <c r="F94" s="35"/>
      <c r="G94" s="35"/>
      <c r="H94" s="35"/>
    </row>
    <row r="95" spans="1:8" ht="15">
      <c r="A95" s="35"/>
      <c r="B95" s="35"/>
      <c r="C95" s="35"/>
      <c r="D95" s="35"/>
      <c r="E95" s="35"/>
      <c r="F95" s="35"/>
      <c r="G95" s="35"/>
      <c r="H95" s="35"/>
    </row>
    <row r="96" spans="1:8" ht="15">
      <c r="A96" s="35"/>
      <c r="B96" s="35"/>
      <c r="C96" s="35"/>
      <c r="D96" s="35"/>
      <c r="E96" s="35"/>
      <c r="F96" s="35"/>
      <c r="G96" s="35"/>
      <c r="H96" s="35"/>
    </row>
    <row r="97" spans="1:8" ht="15">
      <c r="A97" s="35"/>
      <c r="B97" s="35"/>
      <c r="C97" s="35"/>
      <c r="D97" s="35"/>
      <c r="E97" s="35"/>
      <c r="F97" s="35"/>
      <c r="G97" s="35"/>
      <c r="H97" s="35"/>
    </row>
    <row r="98" spans="1:8" ht="15">
      <c r="A98" s="35"/>
      <c r="B98" s="35"/>
      <c r="C98" s="35"/>
      <c r="D98" s="35"/>
      <c r="E98" s="35"/>
      <c r="F98" s="35"/>
      <c r="G98" s="35"/>
      <c r="H98" s="35"/>
    </row>
    <row r="99" spans="1:8" ht="15">
      <c r="A99" s="35"/>
      <c r="B99" s="35"/>
      <c r="C99" s="35"/>
      <c r="D99" s="35"/>
      <c r="E99" s="35"/>
      <c r="F99" s="35"/>
      <c r="G99" s="35"/>
      <c r="H99" s="35"/>
    </row>
    <row r="100" spans="1:8" ht="15">
      <c r="A100" s="35"/>
      <c r="B100" s="35"/>
      <c r="C100" s="35"/>
      <c r="D100" s="35"/>
      <c r="E100" s="35"/>
      <c r="F100" s="35"/>
      <c r="G100" s="35"/>
      <c r="H100" s="35"/>
    </row>
    <row r="101" spans="1:8" ht="15">
      <c r="A101" s="35"/>
      <c r="B101" s="35"/>
      <c r="C101" s="35"/>
      <c r="D101" s="35"/>
      <c r="E101" s="35"/>
      <c r="F101" s="35"/>
      <c r="G101" s="35"/>
      <c r="H101" s="35"/>
    </row>
    <row r="102" spans="1:8" ht="15">
      <c r="A102" s="35"/>
      <c r="B102" s="35"/>
      <c r="C102" s="35"/>
      <c r="D102" s="35"/>
      <c r="E102" s="35"/>
      <c r="F102" s="35"/>
      <c r="G102" s="35"/>
      <c r="H102" s="35"/>
    </row>
    <row r="103" spans="1:8" ht="15">
      <c r="A103" s="35"/>
      <c r="B103" s="35"/>
      <c r="C103" s="35"/>
      <c r="D103" s="35"/>
      <c r="E103" s="35"/>
      <c r="F103" s="35"/>
      <c r="G103" s="35"/>
      <c r="H103" s="35"/>
    </row>
    <row r="104" spans="1:8" ht="15">
      <c r="A104" s="35"/>
      <c r="B104" s="35"/>
      <c r="C104" s="35"/>
      <c r="D104" s="35"/>
      <c r="E104" s="35"/>
      <c r="F104" s="35"/>
      <c r="G104" s="35"/>
      <c r="H104" s="35"/>
    </row>
    <row r="105" spans="1:8" ht="15">
      <c r="A105" s="35"/>
      <c r="B105" s="35"/>
      <c r="C105" s="35"/>
      <c r="D105" s="35"/>
      <c r="E105" s="35"/>
      <c r="F105" s="35"/>
      <c r="G105" s="35"/>
      <c r="H105" s="35"/>
    </row>
    <row r="106" spans="1:8" ht="15">
      <c r="A106" s="35"/>
      <c r="B106" s="35"/>
      <c r="C106" s="35"/>
      <c r="D106" s="35"/>
      <c r="E106" s="35"/>
      <c r="F106" s="35"/>
      <c r="G106" s="35"/>
      <c r="H106" s="35"/>
    </row>
    <row r="107" spans="1:8" ht="15">
      <c r="A107" s="35"/>
      <c r="B107" s="35"/>
      <c r="C107" s="35"/>
      <c r="D107" s="35"/>
      <c r="E107" s="35"/>
      <c r="F107" s="35"/>
      <c r="G107" s="35"/>
      <c r="H107" s="35"/>
    </row>
    <row r="108" spans="1:8" ht="15">
      <c r="A108" s="35"/>
      <c r="B108" s="35"/>
      <c r="C108" s="35"/>
      <c r="D108" s="35"/>
      <c r="E108" s="35"/>
      <c r="F108" s="35"/>
      <c r="G108" s="35"/>
      <c r="H108" s="35"/>
    </row>
    <row r="109" spans="1:8" ht="15">
      <c r="A109" s="35"/>
      <c r="B109" s="35"/>
      <c r="C109" s="35"/>
      <c r="D109" s="35"/>
      <c r="E109" s="35"/>
      <c r="F109" s="35"/>
      <c r="G109" s="35"/>
      <c r="H109" s="35"/>
    </row>
    <row r="110" spans="1:8" ht="15">
      <c r="A110" s="35"/>
      <c r="B110" s="35"/>
      <c r="C110" s="35"/>
      <c r="D110" s="35"/>
      <c r="E110" s="35"/>
      <c r="F110" s="35"/>
      <c r="G110" s="35"/>
      <c r="H110" s="35"/>
    </row>
    <row r="111" spans="1:8" ht="15">
      <c r="A111" s="35"/>
      <c r="B111" s="35"/>
      <c r="C111" s="35"/>
      <c r="D111" s="35"/>
      <c r="E111" s="35"/>
      <c r="F111" s="35"/>
      <c r="G111" s="35"/>
      <c r="H111" s="35"/>
    </row>
    <row r="112" spans="1:8" ht="15">
      <c r="A112" s="35"/>
      <c r="B112" s="35"/>
      <c r="C112" s="35"/>
      <c r="D112" s="35"/>
      <c r="E112" s="35"/>
      <c r="F112" s="35"/>
      <c r="G112" s="35"/>
      <c r="H112" s="35"/>
    </row>
    <row r="113" spans="1:8" ht="15">
      <c r="A113" s="35"/>
      <c r="B113" s="35"/>
      <c r="C113" s="35"/>
      <c r="D113" s="35"/>
      <c r="E113" s="35"/>
      <c r="F113" s="35"/>
      <c r="G113" s="35"/>
      <c r="H113" s="35"/>
    </row>
    <row r="114" spans="1:8" ht="15">
      <c r="A114" s="35"/>
      <c r="B114" s="35"/>
      <c r="C114" s="35"/>
      <c r="D114" s="35"/>
      <c r="E114" s="35"/>
      <c r="F114" s="35"/>
      <c r="G114" s="35"/>
      <c r="H114" s="35"/>
    </row>
    <row r="115" spans="1:8" ht="15">
      <c r="A115" s="35"/>
      <c r="B115" s="35"/>
      <c r="C115" s="35"/>
      <c r="D115" s="35"/>
      <c r="E115" s="35"/>
      <c r="F115" s="35"/>
      <c r="G115" s="35"/>
      <c r="H115" s="35"/>
    </row>
    <row r="116" spans="1:8" ht="15">
      <c r="A116" s="35"/>
      <c r="B116" s="35"/>
      <c r="C116" s="35"/>
      <c r="D116" s="35"/>
      <c r="E116" s="35"/>
      <c r="F116" s="35"/>
      <c r="G116" s="35"/>
      <c r="H116" s="35"/>
    </row>
    <row r="117" spans="1:8" ht="15">
      <c r="A117" s="35"/>
      <c r="B117" s="35"/>
      <c r="C117" s="35"/>
      <c r="D117" s="35"/>
      <c r="E117" s="35"/>
      <c r="F117" s="35"/>
      <c r="G117" s="35"/>
      <c r="H117" s="35"/>
    </row>
    <row r="118" spans="1:8" ht="15">
      <c r="A118" s="35"/>
      <c r="B118" s="35"/>
      <c r="C118" s="35"/>
      <c r="D118" s="35"/>
      <c r="E118" s="35"/>
      <c r="F118" s="35"/>
      <c r="G118" s="35"/>
      <c r="H118" s="35"/>
    </row>
    <row r="119" spans="1:8" ht="15">
      <c r="A119" s="35"/>
      <c r="B119" s="35"/>
      <c r="C119" s="35"/>
      <c r="D119" s="35"/>
      <c r="E119" s="35"/>
      <c r="F119" s="35"/>
      <c r="G119" s="35"/>
      <c r="H119" s="35"/>
    </row>
    <row r="120" spans="1:8" ht="15">
      <c r="A120" s="35"/>
      <c r="B120" s="35"/>
      <c r="C120" s="35"/>
      <c r="D120" s="35"/>
      <c r="E120" s="35"/>
      <c r="F120" s="35"/>
      <c r="G120" s="35"/>
      <c r="H120" s="35"/>
    </row>
    <row r="121" spans="1:8" ht="15">
      <c r="A121" s="35"/>
      <c r="B121" s="35"/>
      <c r="C121" s="35"/>
      <c r="D121" s="35"/>
      <c r="E121" s="35"/>
      <c r="F121" s="35"/>
      <c r="G121" s="35"/>
      <c r="H121" s="35"/>
    </row>
    <row r="122" spans="1:8" ht="15">
      <c r="A122" s="35"/>
      <c r="B122" s="35"/>
      <c r="C122" s="35"/>
      <c r="D122" s="35"/>
      <c r="E122" s="35"/>
      <c r="F122" s="35"/>
      <c r="G122" s="35"/>
      <c r="H122" s="35"/>
    </row>
    <row r="123" spans="1:8" ht="15">
      <c r="A123" s="35"/>
      <c r="B123" s="35"/>
      <c r="C123" s="35"/>
      <c r="D123" s="35"/>
      <c r="E123" s="35"/>
      <c r="F123" s="35"/>
      <c r="G123" s="35"/>
      <c r="H123" s="35"/>
    </row>
    <row r="124" spans="1:8" ht="15">
      <c r="A124" s="35"/>
      <c r="B124" s="35"/>
      <c r="C124" s="35"/>
      <c r="D124" s="35"/>
      <c r="E124" s="35"/>
      <c r="F124" s="35"/>
      <c r="G124" s="35"/>
      <c r="H124" s="35"/>
    </row>
    <row r="125" spans="1:8" ht="15">
      <c r="A125" s="35"/>
      <c r="B125" s="35"/>
      <c r="C125" s="35"/>
      <c r="D125" s="35"/>
      <c r="E125" s="35"/>
      <c r="F125" s="35"/>
      <c r="G125" s="35"/>
      <c r="H125" s="35"/>
    </row>
    <row r="126" spans="1:8" ht="15">
      <c r="A126" s="35"/>
      <c r="B126" s="35"/>
      <c r="C126" s="35"/>
      <c r="D126" s="35"/>
      <c r="E126" s="35"/>
      <c r="F126" s="35"/>
      <c r="G126" s="35"/>
      <c r="H126" s="35"/>
    </row>
    <row r="127" spans="1:8" ht="15">
      <c r="A127" s="35"/>
      <c r="B127" s="35"/>
      <c r="C127" s="35"/>
      <c r="D127" s="35"/>
      <c r="E127" s="35"/>
      <c r="F127" s="35"/>
      <c r="G127" s="35"/>
      <c r="H127" s="35"/>
    </row>
    <row r="128" spans="1:8" ht="15">
      <c r="A128" s="35"/>
      <c r="B128" s="35"/>
      <c r="C128" s="35"/>
      <c r="D128" s="35"/>
      <c r="E128" s="35"/>
      <c r="F128" s="35"/>
      <c r="G128" s="35"/>
      <c r="H128" s="35"/>
    </row>
    <row r="129" spans="1:8" ht="15">
      <c r="A129" s="35"/>
      <c r="B129" s="35"/>
      <c r="C129" s="35"/>
      <c r="D129" s="35"/>
      <c r="E129" s="35"/>
      <c r="F129" s="35"/>
      <c r="G129" s="35"/>
      <c r="H129" s="35"/>
    </row>
    <row r="130" spans="1:8" ht="15">
      <c r="A130" s="35"/>
      <c r="B130" s="35"/>
      <c r="C130" s="35"/>
      <c r="D130" s="35"/>
      <c r="E130" s="35"/>
      <c r="F130" s="35"/>
      <c r="G130" s="35"/>
      <c r="H130" s="35"/>
    </row>
    <row r="131" spans="1:8" ht="15">
      <c r="A131" s="35"/>
      <c r="B131" s="35"/>
      <c r="C131" s="35"/>
      <c r="D131" s="35"/>
      <c r="E131" s="35"/>
      <c r="F131" s="35"/>
      <c r="G131" s="35"/>
      <c r="H131" s="35"/>
    </row>
    <row r="132" spans="1:8" ht="15">
      <c r="A132" s="35"/>
      <c r="B132" s="35"/>
      <c r="C132" s="35"/>
      <c r="D132" s="35"/>
      <c r="E132" s="35"/>
      <c r="F132" s="35"/>
      <c r="G132" s="35"/>
      <c r="H132" s="35"/>
    </row>
    <row r="133" spans="1:8" ht="15">
      <c r="A133" s="35"/>
      <c r="B133" s="35"/>
      <c r="C133" s="35"/>
      <c r="D133" s="35"/>
      <c r="E133" s="35"/>
      <c r="F133" s="35"/>
      <c r="G133" s="35"/>
      <c r="H133" s="35"/>
    </row>
    <row r="134" spans="1:8" ht="15">
      <c r="A134" s="35"/>
      <c r="B134" s="35"/>
      <c r="C134" s="35"/>
      <c r="D134" s="35"/>
      <c r="E134" s="35"/>
      <c r="F134" s="35"/>
      <c r="G134" s="35"/>
      <c r="H134" s="35"/>
    </row>
    <row r="135" spans="1:8" ht="15">
      <c r="A135" s="35"/>
      <c r="B135" s="35"/>
      <c r="C135" s="35"/>
      <c r="D135" s="35"/>
      <c r="E135" s="35"/>
      <c r="F135" s="35"/>
      <c r="G135" s="35"/>
      <c r="H135" s="35"/>
    </row>
    <row r="136" spans="1:8" ht="15">
      <c r="A136" s="35"/>
      <c r="B136" s="35"/>
      <c r="C136" s="35"/>
      <c r="D136" s="35"/>
      <c r="E136" s="35"/>
      <c r="F136" s="35"/>
      <c r="G136" s="35"/>
      <c r="H136" s="35"/>
    </row>
    <row r="137" spans="1:8" ht="15">
      <c r="A137" s="35"/>
      <c r="B137" s="35"/>
      <c r="C137" s="35"/>
      <c r="D137" s="35"/>
      <c r="E137" s="35"/>
      <c r="F137" s="35"/>
      <c r="G137" s="35"/>
      <c r="H137" s="35"/>
    </row>
    <row r="138" spans="1:8" ht="15">
      <c r="A138" s="35"/>
      <c r="B138" s="35"/>
      <c r="C138" s="35"/>
      <c r="D138" s="35"/>
      <c r="E138" s="35"/>
      <c r="F138" s="35"/>
      <c r="G138" s="35"/>
      <c r="H138" s="35"/>
    </row>
    <row r="139" spans="1:8" ht="15">
      <c r="A139" s="35"/>
      <c r="B139" s="35"/>
      <c r="C139" s="35"/>
      <c r="D139" s="35"/>
      <c r="E139" s="35"/>
      <c r="F139" s="35"/>
      <c r="G139" s="35"/>
      <c r="H139" s="35"/>
    </row>
    <row r="140" spans="1:8" ht="15">
      <c r="A140" s="35"/>
      <c r="B140" s="35"/>
      <c r="C140" s="35"/>
      <c r="D140" s="35"/>
      <c r="E140" s="35"/>
      <c r="F140" s="35"/>
      <c r="G140" s="35"/>
      <c r="H140" s="35"/>
    </row>
    <row r="141" spans="1:8" ht="15">
      <c r="A141" s="35"/>
      <c r="B141" s="35"/>
      <c r="C141" s="35"/>
      <c r="D141" s="35"/>
      <c r="E141" s="35"/>
      <c r="F141" s="35"/>
      <c r="G141" s="35"/>
      <c r="H141" s="35"/>
    </row>
    <row r="142" spans="1:8" ht="15">
      <c r="A142" s="35"/>
      <c r="B142" s="35"/>
      <c r="C142" s="35"/>
      <c r="D142" s="35"/>
      <c r="E142" s="35"/>
      <c r="F142" s="35"/>
      <c r="G142" s="35"/>
      <c r="H142" s="35"/>
    </row>
    <row r="143" spans="1:8" ht="15">
      <c r="A143" s="35"/>
      <c r="B143" s="35"/>
      <c r="C143" s="35"/>
      <c r="D143" s="35"/>
      <c r="E143" s="35"/>
      <c r="F143" s="35"/>
      <c r="G143" s="35"/>
      <c r="H143" s="35"/>
    </row>
    <row r="144" spans="1:8" ht="15">
      <c r="A144" s="35"/>
      <c r="B144" s="35"/>
      <c r="C144" s="35"/>
      <c r="D144" s="35"/>
      <c r="E144" s="35"/>
      <c r="F144" s="35"/>
      <c r="G144" s="35"/>
      <c r="H144" s="35"/>
    </row>
    <row r="145" spans="1:8" ht="15">
      <c r="A145" s="35"/>
      <c r="B145" s="35"/>
      <c r="C145" s="35"/>
      <c r="D145" s="35"/>
      <c r="E145" s="35"/>
      <c r="F145" s="35"/>
      <c r="G145" s="35"/>
      <c r="H145" s="35"/>
    </row>
    <row r="146" spans="1:8" ht="15">
      <c r="A146" s="35"/>
      <c r="B146" s="35"/>
      <c r="C146" s="35"/>
      <c r="D146" s="35"/>
      <c r="E146" s="35"/>
      <c r="F146" s="35"/>
      <c r="G146" s="35"/>
      <c r="H146" s="35"/>
    </row>
    <row r="147" spans="1:8" ht="15">
      <c r="A147" s="35"/>
      <c r="B147" s="35"/>
      <c r="C147" s="35"/>
      <c r="D147" s="35"/>
      <c r="E147" s="35"/>
      <c r="F147" s="35"/>
      <c r="G147" s="35"/>
      <c r="H147" s="35"/>
    </row>
    <row r="148" spans="1:8" ht="15">
      <c r="A148" s="35"/>
      <c r="B148" s="35"/>
      <c r="C148" s="35"/>
      <c r="D148" s="35"/>
      <c r="E148" s="35"/>
      <c r="F148" s="35"/>
      <c r="G148" s="35"/>
      <c r="H148" s="35"/>
    </row>
    <row r="149" spans="1:8" ht="15">
      <c r="A149" s="35"/>
      <c r="B149" s="35"/>
      <c r="C149" s="35"/>
      <c r="D149" s="35"/>
      <c r="E149" s="35"/>
      <c r="F149" s="35"/>
      <c r="G149" s="35"/>
      <c r="H149" s="35"/>
    </row>
    <row r="150" spans="1:8" ht="15">
      <c r="A150" s="35"/>
      <c r="B150" s="35"/>
      <c r="C150" s="35"/>
      <c r="D150" s="35"/>
      <c r="E150" s="35"/>
      <c r="F150" s="35"/>
      <c r="G150" s="35"/>
      <c r="H150" s="35"/>
    </row>
    <row r="151" spans="1:8" ht="15">
      <c r="A151" s="35"/>
      <c r="B151" s="35"/>
      <c r="C151" s="35"/>
      <c r="D151" s="35"/>
      <c r="E151" s="35"/>
      <c r="F151" s="35"/>
      <c r="G151" s="35"/>
      <c r="H151" s="35"/>
    </row>
    <row r="152" spans="1:8" ht="15">
      <c r="A152" s="35"/>
      <c r="B152" s="35"/>
      <c r="C152" s="35"/>
      <c r="D152" s="35"/>
      <c r="E152" s="35"/>
      <c r="F152" s="35"/>
      <c r="G152" s="35"/>
      <c r="H152" s="35"/>
    </row>
    <row r="153" spans="1:8" ht="15">
      <c r="A153" s="35"/>
      <c r="B153" s="35"/>
      <c r="C153" s="35"/>
      <c r="D153" s="35"/>
      <c r="E153" s="35"/>
      <c r="F153" s="35"/>
      <c r="G153" s="35"/>
      <c r="H153" s="35"/>
    </row>
    <row r="154" spans="1:8" ht="15">
      <c r="A154" s="35"/>
      <c r="B154" s="35"/>
      <c r="C154" s="35"/>
      <c r="D154" s="35"/>
      <c r="E154" s="35"/>
      <c r="F154" s="35"/>
      <c r="G154" s="35"/>
      <c r="H154" s="35"/>
    </row>
    <row r="155" spans="1:8" ht="15">
      <c r="A155" s="35"/>
      <c r="B155" s="35"/>
      <c r="C155" s="35"/>
      <c r="D155" s="35"/>
      <c r="E155" s="35"/>
      <c r="F155" s="35"/>
      <c r="G155" s="35"/>
      <c r="H155" s="35"/>
    </row>
    <row r="156" spans="1:8" ht="15">
      <c r="A156" s="35"/>
      <c r="B156" s="35"/>
      <c r="C156" s="35"/>
      <c r="D156" s="35"/>
      <c r="E156" s="35"/>
      <c r="F156" s="35"/>
      <c r="G156" s="35"/>
      <c r="H156" s="35"/>
    </row>
    <row r="157" spans="1:8" ht="15">
      <c r="A157" s="35"/>
      <c r="B157" s="35"/>
      <c r="C157" s="35"/>
      <c r="D157" s="35"/>
      <c r="E157" s="35"/>
      <c r="F157" s="35"/>
      <c r="G157" s="35"/>
      <c r="H157" s="35"/>
    </row>
    <row r="158" spans="1:8" ht="15">
      <c r="A158" s="35"/>
      <c r="B158" s="35"/>
      <c r="C158" s="35"/>
      <c r="D158" s="35"/>
      <c r="E158" s="35"/>
      <c r="F158" s="35"/>
      <c r="G158" s="35"/>
      <c r="H158" s="35"/>
    </row>
    <row r="159" spans="1:8" ht="15">
      <c r="A159" s="35"/>
      <c r="B159" s="35"/>
      <c r="C159" s="35"/>
      <c r="D159" s="35"/>
      <c r="E159" s="35"/>
      <c r="F159" s="35"/>
      <c r="G159" s="35"/>
      <c r="H159" s="35"/>
    </row>
    <row r="160" spans="1:8" ht="15">
      <c r="A160" s="35"/>
      <c r="B160" s="35"/>
      <c r="C160" s="35"/>
      <c r="D160" s="35"/>
      <c r="E160" s="35"/>
      <c r="F160" s="35"/>
      <c r="G160" s="35"/>
      <c r="H160" s="35"/>
    </row>
    <row r="161" spans="1:8" ht="15">
      <c r="A161" s="35"/>
      <c r="B161" s="35"/>
      <c r="C161" s="35"/>
      <c r="D161" s="35"/>
      <c r="E161" s="35"/>
      <c r="F161" s="35"/>
      <c r="G161" s="35"/>
      <c r="H161" s="35"/>
    </row>
    <row r="162" spans="1:8" ht="15">
      <c r="A162" s="35"/>
      <c r="B162" s="35"/>
      <c r="C162" s="35"/>
      <c r="D162" s="35"/>
      <c r="E162" s="35"/>
      <c r="F162" s="35"/>
      <c r="G162" s="35"/>
      <c r="H162" s="35"/>
    </row>
    <row r="163" spans="1:8" ht="15">
      <c r="A163" s="35"/>
      <c r="B163" s="35"/>
      <c r="C163" s="35"/>
      <c r="D163" s="35"/>
      <c r="E163" s="35"/>
      <c r="F163" s="35"/>
      <c r="G163" s="35"/>
      <c r="H163" s="35"/>
    </row>
    <row r="164" spans="1:8" ht="15">
      <c r="A164" s="35"/>
      <c r="B164" s="35"/>
      <c r="C164" s="35"/>
      <c r="D164" s="35"/>
      <c r="E164" s="35"/>
      <c r="F164" s="35"/>
      <c r="G164" s="35"/>
      <c r="H164" s="35"/>
    </row>
    <row r="165" spans="1:8" ht="15">
      <c r="A165" s="35"/>
      <c r="B165" s="35"/>
      <c r="C165" s="35"/>
      <c r="D165" s="35"/>
      <c r="E165" s="35"/>
      <c r="F165" s="35"/>
      <c r="G165" s="35"/>
      <c r="H165" s="35"/>
    </row>
    <row r="166" spans="1:8" ht="15">
      <c r="A166" s="35"/>
      <c r="B166" s="35"/>
      <c r="C166" s="35"/>
      <c r="D166" s="35"/>
      <c r="E166" s="35"/>
      <c r="F166" s="35"/>
      <c r="G166" s="35"/>
      <c r="H166" s="35"/>
    </row>
    <row r="167" spans="1:8" ht="15">
      <c r="A167" s="35"/>
      <c r="B167" s="35"/>
      <c r="C167" s="35"/>
      <c r="D167" s="35"/>
      <c r="E167" s="35"/>
      <c r="F167" s="35"/>
      <c r="G167" s="35"/>
      <c r="H167" s="35"/>
    </row>
    <row r="168" spans="1:8" ht="15">
      <c r="A168" s="35"/>
      <c r="B168" s="35"/>
      <c r="C168" s="35"/>
      <c r="D168" s="35"/>
      <c r="E168" s="35"/>
      <c r="F168" s="35"/>
      <c r="G168" s="35"/>
      <c r="H168" s="35"/>
    </row>
    <row r="169" spans="1:8" ht="15">
      <c r="A169" s="35"/>
      <c r="B169" s="35"/>
      <c r="C169" s="35"/>
      <c r="D169" s="35"/>
      <c r="E169" s="35"/>
      <c r="F169" s="35"/>
      <c r="G169" s="35"/>
      <c r="H169" s="35"/>
    </row>
    <row r="170" spans="1:8" ht="15">
      <c r="A170" s="35"/>
      <c r="B170" s="35"/>
      <c r="C170" s="35"/>
      <c r="D170" s="35"/>
      <c r="E170" s="35"/>
      <c r="F170" s="35"/>
      <c r="G170" s="35"/>
      <c r="H170" s="35"/>
    </row>
    <row r="171" spans="1:8" ht="15">
      <c r="A171" s="35"/>
      <c r="B171" s="35"/>
      <c r="C171" s="35"/>
      <c r="D171" s="35"/>
      <c r="E171" s="35"/>
      <c r="F171" s="35"/>
      <c r="G171" s="35"/>
      <c r="H171" s="35"/>
    </row>
    <row r="172" spans="1:8" ht="15">
      <c r="A172" s="35"/>
      <c r="B172" s="35"/>
      <c r="C172" s="35"/>
      <c r="D172" s="35"/>
      <c r="E172" s="35"/>
      <c r="F172" s="35"/>
      <c r="G172" s="35"/>
      <c r="H172" s="35"/>
    </row>
    <row r="173" spans="1:8" ht="15">
      <c r="A173" s="35"/>
      <c r="B173" s="35"/>
      <c r="C173" s="35"/>
      <c r="D173" s="35"/>
      <c r="E173" s="35"/>
      <c r="F173" s="35"/>
      <c r="G173" s="35"/>
      <c r="H173" s="35"/>
    </row>
    <row r="174" spans="1:8" ht="15">
      <c r="A174" s="35"/>
      <c r="B174" s="35"/>
      <c r="C174" s="35"/>
      <c r="D174" s="35"/>
      <c r="E174" s="35"/>
      <c r="F174" s="35"/>
      <c r="G174" s="35"/>
      <c r="H174" s="35"/>
    </row>
    <row r="175" spans="1:8" ht="15">
      <c r="A175" s="35"/>
      <c r="B175" s="35"/>
      <c r="C175" s="35"/>
      <c r="D175" s="35"/>
      <c r="E175" s="35"/>
      <c r="F175" s="35"/>
      <c r="G175" s="35"/>
      <c r="H175" s="35"/>
    </row>
    <row r="176" spans="1:8" ht="15">
      <c r="A176" s="35"/>
      <c r="B176" s="35"/>
      <c r="C176" s="35"/>
      <c r="D176" s="35"/>
      <c r="E176" s="35"/>
      <c r="F176" s="35"/>
      <c r="G176" s="35"/>
      <c r="H176" s="35"/>
    </row>
    <row r="177" spans="1:8" ht="15">
      <c r="A177" s="35"/>
      <c r="B177" s="35"/>
      <c r="C177" s="35"/>
      <c r="D177" s="35"/>
      <c r="E177" s="35"/>
      <c r="F177" s="35"/>
      <c r="G177" s="35"/>
      <c r="H177" s="35"/>
    </row>
    <row r="178" spans="1:8" ht="15">
      <c r="A178" s="35"/>
      <c r="B178" s="35"/>
      <c r="C178" s="35"/>
      <c r="D178" s="35"/>
      <c r="E178" s="35"/>
      <c r="F178" s="35"/>
      <c r="G178" s="35"/>
      <c r="H178" s="35"/>
    </row>
    <row r="179" spans="1:8" ht="15">
      <c r="A179" s="35"/>
      <c r="B179" s="35"/>
      <c r="C179" s="35"/>
      <c r="D179" s="35"/>
      <c r="E179" s="35"/>
      <c r="F179" s="35"/>
      <c r="G179" s="35"/>
      <c r="H179" s="35"/>
    </row>
    <row r="180" spans="1:8" ht="15">
      <c r="A180" s="35"/>
      <c r="B180" s="35"/>
      <c r="C180" s="35"/>
      <c r="D180" s="35"/>
      <c r="E180" s="35"/>
      <c r="F180" s="35"/>
      <c r="G180" s="35"/>
      <c r="H180" s="35"/>
    </row>
    <row r="181" spans="1:8" ht="15">
      <c r="A181" s="35"/>
      <c r="B181" s="35"/>
      <c r="C181" s="35"/>
      <c r="D181" s="35"/>
      <c r="E181" s="35"/>
      <c r="F181" s="35"/>
      <c r="G181" s="35"/>
      <c r="H181" s="35"/>
    </row>
    <row r="182" spans="1:8" ht="15">
      <c r="A182" s="35"/>
      <c r="B182" s="35"/>
      <c r="C182" s="35"/>
      <c r="D182" s="35"/>
      <c r="E182" s="35"/>
      <c r="F182" s="35"/>
      <c r="G182" s="35"/>
      <c r="H182" s="35"/>
    </row>
    <row r="183" spans="1:8" ht="15">
      <c r="A183" s="35"/>
      <c r="B183" s="35"/>
      <c r="C183" s="35"/>
      <c r="D183" s="35"/>
      <c r="E183" s="35"/>
      <c r="F183" s="35"/>
      <c r="G183" s="35"/>
      <c r="H183" s="35"/>
    </row>
    <row r="184" spans="1:8" ht="15">
      <c r="A184" s="35"/>
      <c r="B184" s="35"/>
      <c r="C184" s="35"/>
      <c r="D184" s="35"/>
      <c r="E184" s="35"/>
      <c r="F184" s="35"/>
      <c r="G184" s="35"/>
      <c r="H184" s="35"/>
    </row>
    <row r="185" spans="1:8" ht="15">
      <c r="A185" s="35"/>
      <c r="B185" s="35"/>
      <c r="C185" s="35"/>
      <c r="D185" s="35"/>
      <c r="E185" s="35"/>
      <c r="F185" s="35"/>
      <c r="G185" s="35"/>
      <c r="H185" s="35"/>
    </row>
    <row r="186" spans="1:8" ht="15">
      <c r="A186" s="35"/>
      <c r="B186" s="35"/>
      <c r="C186" s="35"/>
      <c r="D186" s="35"/>
      <c r="E186" s="35"/>
      <c r="F186" s="35"/>
      <c r="G186" s="35"/>
      <c r="H186" s="35"/>
    </row>
    <row r="187" spans="1:8" ht="15">
      <c r="A187" s="35"/>
      <c r="B187" s="35"/>
      <c r="C187" s="35"/>
      <c r="D187" s="35"/>
      <c r="E187" s="35"/>
      <c r="F187" s="35"/>
      <c r="G187" s="35"/>
      <c r="H187" s="35"/>
    </row>
    <row r="188" spans="1:8" ht="15">
      <c r="A188" s="35"/>
      <c r="B188" s="35"/>
      <c r="C188" s="35"/>
      <c r="D188" s="35"/>
      <c r="E188" s="35"/>
      <c r="F188" s="35"/>
      <c r="G188" s="35"/>
      <c r="H188" s="35"/>
    </row>
    <row r="189" spans="1:8" ht="15">
      <c r="A189" s="35"/>
      <c r="B189" s="35"/>
      <c r="C189" s="35"/>
      <c r="D189" s="35"/>
      <c r="E189" s="35"/>
      <c r="F189" s="35"/>
      <c r="G189" s="35"/>
      <c r="H189" s="35"/>
    </row>
    <row r="190" spans="1:8" ht="15">
      <c r="A190" s="35"/>
      <c r="B190" s="35"/>
      <c r="C190" s="35"/>
      <c r="D190" s="35"/>
      <c r="E190" s="35"/>
      <c r="F190" s="35"/>
      <c r="G190" s="35"/>
      <c r="H190" s="35"/>
    </row>
    <row r="191" spans="1:8" ht="15">
      <c r="A191" s="35"/>
      <c r="B191" s="35"/>
      <c r="C191" s="35"/>
      <c r="D191" s="35"/>
      <c r="E191" s="35"/>
      <c r="F191" s="35"/>
      <c r="G191" s="35"/>
      <c r="H191" s="35"/>
    </row>
    <row r="192" spans="1:8" ht="15">
      <c r="A192" s="35"/>
      <c r="B192" s="35"/>
      <c r="C192" s="35"/>
      <c r="D192" s="35"/>
      <c r="E192" s="35"/>
      <c r="F192" s="35"/>
      <c r="G192" s="35"/>
      <c r="H192" s="35"/>
    </row>
    <row r="193" spans="1:8" ht="15">
      <c r="A193" s="35"/>
      <c r="B193" s="35"/>
      <c r="C193" s="35"/>
      <c r="D193" s="35"/>
      <c r="E193" s="35"/>
      <c r="F193" s="35"/>
      <c r="G193" s="35"/>
      <c r="H193" s="35"/>
    </row>
    <row r="194" spans="1:8" ht="15">
      <c r="A194" s="35"/>
      <c r="B194" s="35"/>
      <c r="C194" s="35"/>
      <c r="D194" s="35"/>
      <c r="E194" s="35"/>
      <c r="F194" s="35"/>
      <c r="G194" s="35"/>
      <c r="H194" s="35"/>
    </row>
    <row r="195" spans="1:8" ht="15">
      <c r="A195" s="35"/>
      <c r="B195" s="35"/>
      <c r="C195" s="35"/>
      <c r="D195" s="35"/>
      <c r="E195" s="35"/>
      <c r="F195" s="35"/>
      <c r="G195" s="35"/>
      <c r="H195" s="35"/>
    </row>
  </sheetData>
  <sheetProtection sheet="1" objects="1" scenarios="1"/>
  <mergeCells count="1">
    <mergeCell ref="A12:I12"/>
  </mergeCells>
  <printOptions/>
  <pageMargins left="1" right="0.5" top="1.7"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138"/>
  <sheetViews>
    <sheetView zoomScalePageLayoutView="0" workbookViewId="0" topLeftCell="A1">
      <selection activeCell="E171" sqref="E171:E172"/>
    </sheetView>
  </sheetViews>
  <sheetFormatPr defaultColWidth="9.140625" defaultRowHeight="12.75"/>
  <cols>
    <col min="1" max="1" width="8.8515625" style="54" customWidth="1"/>
    <col min="2" max="2" width="7.00390625" style="54" customWidth="1"/>
    <col min="3" max="3" width="8.8515625" style="54" customWidth="1"/>
  </cols>
  <sheetData>
    <row r="1" ht="23.25" customHeight="1">
      <c r="A1" s="55" t="s">
        <v>19</v>
      </c>
    </row>
    <row r="3" ht="12.75" customHeight="1">
      <c r="A3" s="54" t="s">
        <v>20</v>
      </c>
    </row>
    <row r="4" ht="12.75" customHeight="1">
      <c r="A4" s="54" t="s">
        <v>21</v>
      </c>
    </row>
    <row r="5" ht="12.75">
      <c r="A5" s="54" t="s">
        <v>22</v>
      </c>
    </row>
    <row r="6" ht="12.75">
      <c r="A6" s="54" t="s">
        <v>23</v>
      </c>
    </row>
    <row r="7" ht="12.75">
      <c r="A7" s="54" t="s">
        <v>24</v>
      </c>
    </row>
    <row r="9" ht="12.75" customHeight="1">
      <c r="A9" s="54" t="s">
        <v>187</v>
      </c>
    </row>
    <row r="10" ht="12.75">
      <c r="A10" s="54" t="s">
        <v>25</v>
      </c>
    </row>
    <row r="11" ht="12.75">
      <c r="A11" s="54" t="s">
        <v>26</v>
      </c>
    </row>
    <row r="13" ht="38.25" customHeight="1">
      <c r="A13" s="56" t="s">
        <v>27</v>
      </c>
    </row>
    <row r="15" ht="12.75" customHeight="1">
      <c r="A15" s="54" t="s">
        <v>188</v>
      </c>
    </row>
    <row r="16" ht="12.75">
      <c r="A16" s="54" t="s">
        <v>28</v>
      </c>
    </row>
    <row r="17" ht="12.75">
      <c r="A17" s="54" t="s">
        <v>29</v>
      </c>
    </row>
    <row r="19" ht="12.75" customHeight="1">
      <c r="A19" s="54" t="s">
        <v>30</v>
      </c>
    </row>
    <row r="21" ht="12.75">
      <c r="B21" s="57" t="s">
        <v>31</v>
      </c>
    </row>
    <row r="23" spans="2:3" ht="12.75">
      <c r="B23"/>
      <c r="C23" s="54" t="s">
        <v>32</v>
      </c>
    </row>
    <row r="24" spans="2:3" ht="12.75">
      <c r="B24"/>
      <c r="C24" s="54" t="s">
        <v>33</v>
      </c>
    </row>
    <row r="26" ht="12.75">
      <c r="B26" s="57" t="s">
        <v>34</v>
      </c>
    </row>
    <row r="28" spans="2:3" ht="12.75">
      <c r="B28"/>
      <c r="C28" s="54" t="s">
        <v>35</v>
      </c>
    </row>
    <row r="29" spans="2:3" ht="12.75">
      <c r="B29"/>
      <c r="C29" s="54" t="s">
        <v>36</v>
      </c>
    </row>
    <row r="30" spans="2:3" ht="12.75">
      <c r="B30"/>
      <c r="C30" s="54" t="s">
        <v>37</v>
      </c>
    </row>
    <row r="31" spans="2:3" ht="12.75">
      <c r="B31"/>
      <c r="C31" s="54" t="s">
        <v>38</v>
      </c>
    </row>
    <row r="33" spans="2:3" ht="12.75">
      <c r="B33"/>
      <c r="C33" s="54" t="s">
        <v>39</v>
      </c>
    </row>
    <row r="34" spans="2:3" ht="12.75">
      <c r="B34"/>
      <c r="C34" s="54" t="s">
        <v>40</v>
      </c>
    </row>
    <row r="35" spans="2:3" ht="12.75">
      <c r="B35"/>
      <c r="C35" s="54" t="s">
        <v>41</v>
      </c>
    </row>
    <row r="37" spans="2:3" ht="12.75">
      <c r="B37"/>
      <c r="C37" s="54" t="s">
        <v>42</v>
      </c>
    </row>
    <row r="38" spans="2:3" ht="12.75">
      <c r="B38"/>
      <c r="C38" s="54" t="s">
        <v>43</v>
      </c>
    </row>
    <row r="40" ht="12.75">
      <c r="B40" s="57" t="s">
        <v>44</v>
      </c>
    </row>
    <row r="42" spans="2:3" ht="12.75">
      <c r="B42"/>
      <c r="C42" s="54" t="s">
        <v>45</v>
      </c>
    </row>
    <row r="43" spans="2:3" ht="12.75">
      <c r="B43"/>
      <c r="C43" s="54" t="s">
        <v>46</v>
      </c>
    </row>
    <row r="45" spans="2:3" ht="12.75">
      <c r="B45"/>
      <c r="C45" s="54" t="s">
        <v>47</v>
      </c>
    </row>
    <row r="46" spans="2:3" ht="12.75">
      <c r="B46"/>
      <c r="C46" s="54" t="s">
        <v>48</v>
      </c>
    </row>
    <row r="48" ht="12.75">
      <c r="B48" s="57" t="s">
        <v>49</v>
      </c>
    </row>
    <row r="50" spans="2:3" ht="12.75">
      <c r="B50"/>
      <c r="C50" s="54" t="s">
        <v>50</v>
      </c>
    </row>
    <row r="51" ht="12.75">
      <c r="C51" s="54" t="s">
        <v>189</v>
      </c>
    </row>
    <row r="52" ht="12.75">
      <c r="C52" s="54" t="s">
        <v>190</v>
      </c>
    </row>
    <row r="53" ht="12.75">
      <c r="C53" s="54" t="s">
        <v>52</v>
      </c>
    </row>
    <row r="55" ht="12.75">
      <c r="B55" s="57" t="s">
        <v>53</v>
      </c>
    </row>
    <row r="57" spans="2:3" ht="12.75">
      <c r="B57"/>
      <c r="C57" s="54" t="s">
        <v>54</v>
      </c>
    </row>
    <row r="58" spans="2:3" ht="12.75">
      <c r="B58"/>
      <c r="C58" s="54" t="s">
        <v>55</v>
      </c>
    </row>
    <row r="59" spans="2:3" ht="12.75">
      <c r="B59"/>
      <c r="C59" s="54" t="s">
        <v>56</v>
      </c>
    </row>
    <row r="60" spans="2:3" ht="12.75">
      <c r="B60"/>
      <c r="C60" s="54" t="s">
        <v>57</v>
      </c>
    </row>
    <row r="61" spans="2:3" ht="12.75">
      <c r="B61"/>
      <c r="C61" s="54" t="s">
        <v>58</v>
      </c>
    </row>
    <row r="63" ht="12.75">
      <c r="B63" s="57" t="s">
        <v>59</v>
      </c>
    </row>
    <row r="65" spans="2:3" ht="12.75">
      <c r="B65"/>
      <c r="C65" s="54" t="s">
        <v>60</v>
      </c>
    </row>
    <row r="66" spans="2:3" ht="12.75">
      <c r="B66"/>
      <c r="C66" s="54" t="s">
        <v>61</v>
      </c>
    </row>
    <row r="67" spans="2:3" ht="12.75">
      <c r="B67"/>
      <c r="C67" s="54" t="s">
        <v>62</v>
      </c>
    </row>
    <row r="68" spans="2:3" ht="12.75">
      <c r="B68"/>
      <c r="C68" s="54" t="s">
        <v>63</v>
      </c>
    </row>
    <row r="70" ht="12.75">
      <c r="B70" s="57" t="s">
        <v>64</v>
      </c>
    </row>
    <row r="72" spans="2:3" ht="12.75">
      <c r="B72"/>
      <c r="C72" s="54" t="s">
        <v>65</v>
      </c>
    </row>
    <row r="73" spans="2:3" ht="12.75">
      <c r="B73"/>
      <c r="C73" s="54" t="s">
        <v>66</v>
      </c>
    </row>
    <row r="74" spans="2:3" ht="12.75">
      <c r="B74"/>
      <c r="C74" s="54" t="s">
        <v>67</v>
      </c>
    </row>
    <row r="75" spans="2:3" ht="12.75">
      <c r="B75"/>
      <c r="C75" s="54" t="s">
        <v>68</v>
      </c>
    </row>
    <row r="77" ht="12.75">
      <c r="B77" s="57" t="s">
        <v>69</v>
      </c>
    </row>
    <row r="79" spans="2:3" ht="12.75">
      <c r="B79"/>
      <c r="C79" s="54" t="s">
        <v>70</v>
      </c>
    </row>
    <row r="80" spans="2:3" ht="12.75">
      <c r="B80"/>
      <c r="C80" s="54" t="s">
        <v>71</v>
      </c>
    </row>
    <row r="81" spans="2:3" ht="12.75">
      <c r="B81"/>
      <c r="C81" s="54" t="s">
        <v>72</v>
      </c>
    </row>
    <row r="82" spans="2:3" ht="12.75">
      <c r="B82"/>
      <c r="C82" s="54" t="s">
        <v>73</v>
      </c>
    </row>
    <row r="84" ht="12.75">
      <c r="A84" s="54" t="s">
        <v>74</v>
      </c>
    </row>
    <row r="85" ht="12.75">
      <c r="A85" s="54" t="s">
        <v>75</v>
      </c>
    </row>
    <row r="87" ht="12.75">
      <c r="A87" s="54" t="s">
        <v>191</v>
      </c>
    </row>
    <row r="88" ht="12.75">
      <c r="A88" s="54" t="s">
        <v>192</v>
      </c>
    </row>
    <row r="90" ht="12.75">
      <c r="A90" s="58" t="s">
        <v>76</v>
      </c>
    </row>
    <row r="92" ht="12.75">
      <c r="A92" s="54" t="s">
        <v>77</v>
      </c>
    </row>
    <row r="93" ht="12.75">
      <c r="A93" s="54" t="s">
        <v>78</v>
      </c>
    </row>
    <row r="95" ht="15.75">
      <c r="A95" s="59" t="s">
        <v>79</v>
      </c>
    </row>
    <row r="97" ht="12.75">
      <c r="A97" s="54" t="s">
        <v>80</v>
      </c>
    </row>
    <row r="98" ht="12.75">
      <c r="A98" s="54" t="s">
        <v>81</v>
      </c>
    </row>
    <row r="99" ht="12.75">
      <c r="A99" s="54" t="s">
        <v>82</v>
      </c>
    </row>
    <row r="101" ht="12.75">
      <c r="A101" s="54" t="s">
        <v>30</v>
      </c>
    </row>
    <row r="103" ht="12.75">
      <c r="B103" s="57" t="s">
        <v>83</v>
      </c>
    </row>
    <row r="105" ht="12.75">
      <c r="B105" s="57" t="s">
        <v>84</v>
      </c>
    </row>
    <row r="107" spans="2:3" ht="12.75">
      <c r="B107"/>
      <c r="C107" s="54" t="s">
        <v>85</v>
      </c>
    </row>
    <row r="108" spans="2:3" ht="12.75">
      <c r="B108"/>
      <c r="C108" s="54" t="s">
        <v>86</v>
      </c>
    </row>
    <row r="110" ht="12.75">
      <c r="B110" s="57" t="s">
        <v>87</v>
      </c>
    </row>
    <row r="112" spans="2:3" ht="12.75">
      <c r="B112"/>
      <c r="C112" s="54" t="s">
        <v>88</v>
      </c>
    </row>
    <row r="113" spans="2:3" ht="12.75">
      <c r="B113"/>
      <c r="C113" s="54" t="s">
        <v>89</v>
      </c>
    </row>
    <row r="115" ht="12.75">
      <c r="B115" s="57" t="s">
        <v>90</v>
      </c>
    </row>
    <row r="117" spans="2:3" ht="12.75">
      <c r="B117"/>
      <c r="C117" s="54" t="s">
        <v>50</v>
      </c>
    </row>
    <row r="118" spans="2:3" ht="12.75">
      <c r="B118"/>
      <c r="C118" s="54" t="s">
        <v>51</v>
      </c>
    </row>
    <row r="119" spans="2:3" ht="12.75">
      <c r="B119"/>
      <c r="C119" s="54" t="s">
        <v>91</v>
      </c>
    </row>
    <row r="120" spans="2:3" ht="12.75">
      <c r="B120"/>
      <c r="C120" s="54" t="s">
        <v>92</v>
      </c>
    </row>
    <row r="122" ht="12.75">
      <c r="B122" s="57" t="s">
        <v>93</v>
      </c>
    </row>
    <row r="124" spans="2:3" ht="12.75">
      <c r="B124"/>
      <c r="C124" s="54" t="s">
        <v>94</v>
      </c>
    </row>
    <row r="125" spans="2:3" ht="12.75">
      <c r="B125"/>
      <c r="C125" s="54" t="s">
        <v>61</v>
      </c>
    </row>
    <row r="126" spans="2:3" ht="12.75">
      <c r="B126"/>
      <c r="C126" s="54" t="s">
        <v>62</v>
      </c>
    </row>
    <row r="127" spans="2:3" ht="12.75">
      <c r="B127"/>
      <c r="C127" s="54" t="s">
        <v>95</v>
      </c>
    </row>
    <row r="128" spans="2:3" ht="12.75">
      <c r="B128"/>
      <c r="C128" s="54" t="s">
        <v>96</v>
      </c>
    </row>
    <row r="130" ht="12.75">
      <c r="A130" s="54" t="s">
        <v>97</v>
      </c>
    </row>
    <row r="131" ht="12.75">
      <c r="A131" s="54" t="s">
        <v>98</v>
      </c>
    </row>
    <row r="133" ht="12.75">
      <c r="A133" s="57" t="s">
        <v>99</v>
      </c>
    </row>
    <row r="134" ht="12.75">
      <c r="A134" s="54" t="s">
        <v>100</v>
      </c>
    </row>
    <row r="135" ht="12.75">
      <c r="A135" s="54" t="s">
        <v>101</v>
      </c>
    </row>
    <row r="137" ht="12.75">
      <c r="A137" s="54" t="s">
        <v>102</v>
      </c>
    </row>
    <row r="138" ht="12.75">
      <c r="A138" s="54" t="s">
        <v>103</v>
      </c>
    </row>
  </sheetData>
  <sheetProtection sheet="1"/>
  <printOptions gridLines="1"/>
  <pageMargins left="0.75" right="0.75" top="1" bottom="1" header="0.5" footer="0.5"/>
  <pageSetup orientation="portrait" paperSize="9"/>
  <headerFooter alignWithMargins="0">
    <oddHeader>&amp;C&amp;A</oddHeader>
    <oddFooter>&amp;CPage &amp;P</oddFooter>
  </headerFooter>
  <rowBreaks count="1" manualBreakCount="1">
    <brk id="93" max="65535" man="1"/>
  </rowBreaks>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B4" sqref="B4"/>
    </sheetView>
  </sheetViews>
  <sheetFormatPr defaultColWidth="9.140625" defaultRowHeight="12.75"/>
  <cols>
    <col min="1" max="1" width="10.140625" style="0" bestFit="1" customWidth="1"/>
    <col min="2" max="2" width="57.57421875" style="0" customWidth="1"/>
  </cols>
  <sheetData>
    <row r="1" ht="12.75">
      <c r="A1" t="s">
        <v>195</v>
      </c>
    </row>
    <row r="2" spans="1:2" ht="27" customHeight="1">
      <c r="A2" s="16">
        <v>43460</v>
      </c>
      <c r="B2" s="68" t="s">
        <v>196</v>
      </c>
    </row>
    <row r="3" ht="27" customHeight="1"/>
    <row r="4" ht="27" customHeight="1"/>
    <row r="5" ht="27" customHeight="1"/>
    <row r="6" ht="27" customHeight="1"/>
    <row r="7" ht="27" customHeight="1"/>
    <row r="8" ht="27" customHeight="1"/>
    <row r="9" ht="27" customHeight="1"/>
    <row r="10" ht="27" customHeight="1"/>
    <row r="11" ht="27" customHeight="1"/>
    <row r="12" ht="27"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80"/>
  <sheetViews>
    <sheetView zoomScalePageLayoutView="0" workbookViewId="0" topLeftCell="A1">
      <pane ySplit="6" topLeftCell="A7" activePane="bottomLeft" state="frozen"/>
      <selection pane="topLeft" activeCell="A1" sqref="A1"/>
      <selection pane="bottomLeft" activeCell="C2" sqref="C2"/>
    </sheetView>
  </sheetViews>
  <sheetFormatPr defaultColWidth="9.140625" defaultRowHeight="12.75"/>
  <cols>
    <col min="1" max="1" width="5.57421875" style="1" customWidth="1"/>
    <col min="4" max="4" width="11.7109375" style="9" customWidth="1"/>
    <col min="5" max="5" width="9.421875" style="9" customWidth="1"/>
    <col min="6" max="6" width="11.7109375" style="9" customWidth="1"/>
    <col min="7" max="7" width="9.421875" style="9" customWidth="1"/>
    <col min="8" max="8" width="11.57421875" style="0" customWidth="1"/>
  </cols>
  <sheetData>
    <row r="1" spans="1:7" ht="12.75">
      <c r="A1" s="28" t="str">
        <f>Entry!B4</f>
        <v>John Smith</v>
      </c>
      <c r="F1" s="29" t="s">
        <v>104</v>
      </c>
      <c r="G1" s="29">
        <f>Entry!B10</f>
        <v>0</v>
      </c>
    </row>
    <row r="2" spans="1:3" ht="12.75">
      <c r="A2" s="1" t="s">
        <v>105</v>
      </c>
      <c r="C2">
        <f ca="1">MAX(YEAR(Entry!B12),YEAR(NOW()))</f>
        <v>2023</v>
      </c>
    </row>
    <row r="4" spans="2:3" ht="12.75">
      <c r="B4" s="6" t="s">
        <v>106</v>
      </c>
      <c r="C4" s="6" t="s">
        <v>107</v>
      </c>
    </row>
    <row r="5" spans="2:9" ht="12.75">
      <c r="B5" s="6" t="s">
        <v>108</v>
      </c>
      <c r="C5" s="6" t="s">
        <v>108</v>
      </c>
      <c r="D5" s="10" t="s">
        <v>109</v>
      </c>
      <c r="E5" s="9" t="s">
        <v>110</v>
      </c>
      <c r="G5" s="9" t="s">
        <v>111</v>
      </c>
      <c r="I5" s="9" t="s">
        <v>194</v>
      </c>
    </row>
    <row r="6" spans="1:9" ht="12.75">
      <c r="A6" s="3" t="s">
        <v>112</v>
      </c>
      <c r="B6" s="7" t="s">
        <v>113</v>
      </c>
      <c r="C6" s="7" t="s">
        <v>113</v>
      </c>
      <c r="D6" s="11" t="s">
        <v>114</v>
      </c>
      <c r="E6" s="11" t="s">
        <v>108</v>
      </c>
      <c r="F6" s="11" t="s">
        <v>115</v>
      </c>
      <c r="G6" s="11" t="s">
        <v>108</v>
      </c>
      <c r="H6" s="7" t="s">
        <v>115</v>
      </c>
      <c r="I6" s="67" t="s">
        <v>129</v>
      </c>
    </row>
    <row r="7" spans="1:8" ht="12.75">
      <c r="A7" s="1">
        <v>1957</v>
      </c>
      <c r="B7" s="5">
        <v>0.025</v>
      </c>
      <c r="C7" s="5">
        <v>0.03</v>
      </c>
      <c r="D7" s="9">
        <f>IF(A7=YEAR(Entry!B$12),IF(UPPER(Entry!B$16)="R",Principal!H$25,Principal!H$40),0)</f>
        <v>0</v>
      </c>
      <c r="E7" s="9">
        <f>IF(YEAR(Entry!B$12)=A7,ROUND(Rates!A$102*D7*B7,2),0)</f>
        <v>0</v>
      </c>
      <c r="F7" s="9">
        <f>+D7</f>
        <v>0</v>
      </c>
      <c r="G7" s="9">
        <f>IF(YEAR(Entry!$B$12)=$A7,ROUND(Rates!$A$102*$D7*C7,2),0)</f>
        <v>0</v>
      </c>
      <c r="H7" s="12">
        <f>+D7</f>
        <v>0</v>
      </c>
    </row>
    <row r="8" spans="1:8" ht="12.75">
      <c r="A8" s="1">
        <v>1958</v>
      </c>
      <c r="B8" s="5">
        <v>0.025</v>
      </c>
      <c r="C8" s="5">
        <v>0.03</v>
      </c>
      <c r="D8" s="9">
        <f>IF(A8=YEAR(Entry!B$12),IF(UPPER(Entry!B$16)="R",Principal!H$25,Principal!H$40),0)</f>
        <v>0</v>
      </c>
      <c r="E8" s="9">
        <f>IF(YEAR(Entry!B$12)=A8,ROUND(Rates!A$102*D8*B8,2),ROUND(F7*B8,2))</f>
        <v>0</v>
      </c>
      <c r="F8" s="9">
        <f>+F7+E8+D8</f>
        <v>0</v>
      </c>
      <c r="G8" s="9">
        <f>IF(YEAR(Entry!$B$12)=$A8,ROUND(Rates!$A$102*$D8*C8,2),ROUND(H7*C8,2))</f>
        <v>0</v>
      </c>
      <c r="H8" s="12">
        <f>+H7+G8+D8</f>
        <v>0</v>
      </c>
    </row>
    <row r="9" spans="1:8" ht="12.75">
      <c r="A9" s="1">
        <v>1959</v>
      </c>
      <c r="B9" s="5">
        <v>0.025</v>
      </c>
      <c r="C9" s="5">
        <v>0.03</v>
      </c>
      <c r="D9" s="9">
        <f>IF(A9=YEAR(Entry!B$12),IF(UPPER(Entry!B$16)="R",Principal!H$25,Principal!H$40),0)</f>
        <v>0</v>
      </c>
      <c r="E9" s="9">
        <f>IF(YEAR(Entry!B$12)=A9,ROUND(Rates!A$102*D9*B9,2),ROUND(F8*B9,2))</f>
        <v>0</v>
      </c>
      <c r="F9" s="9">
        <f aca="true" t="shared" si="0" ref="F9:F24">+F8+E9+D9</f>
        <v>0</v>
      </c>
      <c r="G9" s="9">
        <f>IF(YEAR(Entry!$B$12)=$A9,ROUND(Rates!$A$102*$D9*C9,2),ROUND(H8*C9,2))</f>
        <v>0</v>
      </c>
      <c r="H9" s="12">
        <f aca="true" t="shared" si="1" ref="H9:H24">+H8+G9+D9</f>
        <v>0</v>
      </c>
    </row>
    <row r="10" spans="1:8" ht="12.75">
      <c r="A10" s="1">
        <v>1960</v>
      </c>
      <c r="B10" s="5">
        <v>0.025</v>
      </c>
      <c r="C10" s="5">
        <v>0.03</v>
      </c>
      <c r="D10" s="9">
        <f>IF(A10=YEAR(Entry!B$12),IF(UPPER(Entry!B$16)="R",Principal!H$25,Principal!H$40),0)</f>
        <v>0</v>
      </c>
      <c r="E10" s="9">
        <f>IF(YEAR(Entry!B$12)=A10,ROUND(Rates!A$102*D10*B10,2),ROUND(F9*B10,2))</f>
        <v>0</v>
      </c>
      <c r="F10" s="9">
        <f t="shared" si="0"/>
        <v>0</v>
      </c>
      <c r="G10" s="9">
        <f>IF(YEAR(Entry!$B$12)=$A10,ROUND(Rates!$A$102*$D10*C10,2),ROUND(H9*C10,2))</f>
        <v>0</v>
      </c>
      <c r="H10" s="12">
        <f t="shared" si="1"/>
        <v>0</v>
      </c>
    </row>
    <row r="11" spans="1:8" ht="12.75">
      <c r="A11" s="1">
        <v>1961</v>
      </c>
      <c r="B11" s="5">
        <v>0.025</v>
      </c>
      <c r="C11" s="5">
        <v>0.03</v>
      </c>
      <c r="D11" s="9">
        <f>IF(A11=YEAR(Entry!B$12),IF(UPPER(Entry!B$16)="R",Principal!H$25,Principal!H$40),0)</f>
        <v>0</v>
      </c>
      <c r="E11" s="9">
        <f>IF(YEAR(Entry!B$12)=A11,ROUND(Rates!A$102*D11*B11,2),ROUND(F10*B11,2))</f>
        <v>0</v>
      </c>
      <c r="F11" s="9">
        <f t="shared" si="0"/>
        <v>0</v>
      </c>
      <c r="G11" s="9">
        <f>IF(YEAR(Entry!$B$12)=$A11,ROUND(Rates!$A$102*$D11*C11,2),ROUND(H10*C11,2))</f>
        <v>0</v>
      </c>
      <c r="H11" s="12">
        <f t="shared" si="1"/>
        <v>0</v>
      </c>
    </row>
    <row r="12" spans="1:8" ht="12.75">
      <c r="A12" s="1">
        <v>1962</v>
      </c>
      <c r="B12" s="5">
        <v>0.025</v>
      </c>
      <c r="C12" s="5">
        <v>0.035</v>
      </c>
      <c r="D12" s="9">
        <f>IF(A12=YEAR(Entry!B$12),IF(UPPER(Entry!B$16)="R",Principal!H$25,Principal!H$40),0)</f>
        <v>0</v>
      </c>
      <c r="E12" s="9">
        <f>IF(YEAR(Entry!B$12)=A12,ROUND(Rates!A$102*D12*B12,2),ROUND(F11*B12,2))</f>
        <v>0</v>
      </c>
      <c r="F12" s="9">
        <f t="shared" si="0"/>
        <v>0</v>
      </c>
      <c r="G12" s="9">
        <f>IF(YEAR(Entry!$B$12)=$A12,ROUND(Rates!$A$102*$D12*C12,2),ROUND(H11*C12,2))</f>
        <v>0</v>
      </c>
      <c r="H12" s="12">
        <f t="shared" si="1"/>
        <v>0</v>
      </c>
    </row>
    <row r="13" spans="1:8" ht="12.75">
      <c r="A13" s="1">
        <v>1963</v>
      </c>
      <c r="B13" s="5">
        <v>0.025</v>
      </c>
      <c r="C13" s="5">
        <v>0.035</v>
      </c>
      <c r="D13" s="9">
        <f>IF(A13=YEAR(Entry!B$12),IF(UPPER(Entry!B$16)="R",Principal!H$25,Principal!H$40),0)</f>
        <v>0</v>
      </c>
      <c r="E13" s="9">
        <f>IF(YEAR(Entry!B$12)=A13,ROUND(Rates!A$102*D13*B13,2),ROUND(F12*B13,2))</f>
        <v>0</v>
      </c>
      <c r="F13" s="9">
        <f t="shared" si="0"/>
        <v>0</v>
      </c>
      <c r="G13" s="9">
        <f>IF(YEAR(Entry!$B$12)=$A13,ROUND(Rates!$A$102*$D13*C13,2),ROUND(H12*C13,2))</f>
        <v>0</v>
      </c>
      <c r="H13" s="12">
        <f t="shared" si="1"/>
        <v>0</v>
      </c>
    </row>
    <row r="14" spans="1:8" ht="12.75">
      <c r="A14" s="1">
        <v>1964</v>
      </c>
      <c r="B14" s="5">
        <v>0.025</v>
      </c>
      <c r="C14" s="5">
        <v>0.05</v>
      </c>
      <c r="D14" s="9">
        <f>IF(A14=YEAR(Entry!B$12),IF(UPPER(Entry!B$16)="R",Principal!H$25,Principal!H$40),0)</f>
        <v>0</v>
      </c>
      <c r="E14" s="9">
        <f>IF(YEAR(Entry!B$12)=A14,ROUND(Rates!A$102*D14*B14,2),ROUND(F13*B14,2))</f>
        <v>0</v>
      </c>
      <c r="F14" s="9">
        <f t="shared" si="0"/>
        <v>0</v>
      </c>
      <c r="G14" s="9">
        <f>IF(YEAR(Entry!$B$12)=$A14,ROUND(Rates!$A$102*$D14*C14,2),ROUND(H13*C14,2))</f>
        <v>0</v>
      </c>
      <c r="H14" s="12">
        <f t="shared" si="1"/>
        <v>0</v>
      </c>
    </row>
    <row r="15" spans="1:8" ht="12.75">
      <c r="A15" s="1">
        <v>1965</v>
      </c>
      <c r="B15" s="5">
        <v>0.025</v>
      </c>
      <c r="C15" s="5">
        <v>0.05</v>
      </c>
      <c r="D15" s="9">
        <f>IF(A15=YEAR(Entry!B$12),IF(UPPER(Entry!B$16)="R",Principal!H$25,Principal!H$40),0)</f>
        <v>0</v>
      </c>
      <c r="E15" s="9">
        <f>IF(YEAR(Entry!B$12)=A15,ROUND(Rates!A$102*D15*B15,2),ROUND(F14*B15,2))</f>
        <v>0</v>
      </c>
      <c r="F15" s="9">
        <f t="shared" si="0"/>
        <v>0</v>
      </c>
      <c r="G15" s="9">
        <f>IF(YEAR(Entry!$B$12)=$A15,ROUND(Rates!$A$102*$D15*C15,2),ROUND(H14*C15,2))</f>
        <v>0</v>
      </c>
      <c r="H15" s="12">
        <f t="shared" si="1"/>
        <v>0</v>
      </c>
    </row>
    <row r="16" spans="1:8" ht="12.75">
      <c r="A16" s="1">
        <v>1966</v>
      </c>
      <c r="B16" s="5">
        <v>0.025</v>
      </c>
      <c r="C16" s="5">
        <v>0.04</v>
      </c>
      <c r="D16" s="9">
        <f>IF(A16=YEAR(Entry!B$12),IF(UPPER(Entry!B$16)="R",Principal!H$25,Principal!H$40),0)</f>
        <v>0</v>
      </c>
      <c r="E16" s="9">
        <f>IF(YEAR(Entry!B$12)=A16,ROUND(Rates!A$102*D16*B16,2),ROUND(F15*B16,2))</f>
        <v>0</v>
      </c>
      <c r="F16" s="9">
        <f t="shared" si="0"/>
        <v>0</v>
      </c>
      <c r="G16" s="9">
        <f>IF(YEAR(Entry!$B$12)=$A16,ROUND(Rates!$A$102*$D16*C16,2),ROUND(H15*C16,2))</f>
        <v>0</v>
      </c>
      <c r="H16" s="12">
        <f t="shared" si="1"/>
        <v>0</v>
      </c>
    </row>
    <row r="17" spans="1:8" ht="12.75">
      <c r="A17" s="1">
        <v>1967</v>
      </c>
      <c r="B17" s="5">
        <v>0.025</v>
      </c>
      <c r="C17" s="5">
        <v>0.04</v>
      </c>
      <c r="D17" s="9">
        <f>IF(A17=YEAR(Entry!B$12),IF(UPPER(Entry!B$16)="R",Principal!H$25,Principal!H$40),0)</f>
        <v>0</v>
      </c>
      <c r="E17" s="9">
        <f>IF(YEAR(Entry!B$12)=A17,ROUND(Rates!A$102*D17*B17,2),ROUND(F16*B17,2))</f>
        <v>0</v>
      </c>
      <c r="F17" s="9">
        <f t="shared" si="0"/>
        <v>0</v>
      </c>
      <c r="G17" s="9">
        <f>IF(YEAR(Entry!$B$12)=$A17,ROUND(Rates!$A$102*$D17*C17,2),ROUND(H16*C17,2))</f>
        <v>0</v>
      </c>
      <c r="H17" s="12">
        <f t="shared" si="1"/>
        <v>0</v>
      </c>
    </row>
    <row r="18" spans="1:8" ht="12.75">
      <c r="A18" s="1">
        <v>1968</v>
      </c>
      <c r="B18" s="5">
        <v>0.025</v>
      </c>
      <c r="C18" s="5">
        <v>0.04</v>
      </c>
      <c r="D18" s="9">
        <f>IF(A18=YEAR(Entry!B$12),IF(UPPER(Entry!B$16)="R",Principal!H$25,Principal!H$40),0)</f>
        <v>0</v>
      </c>
      <c r="E18" s="9">
        <f>IF(YEAR(Entry!B$12)=A18,ROUND(Rates!A$102*D18*B18,2),ROUND(F17*B18,2))</f>
        <v>0</v>
      </c>
      <c r="F18" s="9">
        <f t="shared" si="0"/>
        <v>0</v>
      </c>
      <c r="G18" s="9">
        <f>IF(YEAR(Entry!$B$12)=$A18,ROUND(Rates!$A$102*$D18*C18,2),ROUND(H17*C18,2))</f>
        <v>0</v>
      </c>
      <c r="H18" s="12">
        <f t="shared" si="1"/>
        <v>0</v>
      </c>
    </row>
    <row r="19" spans="1:8" ht="12.75">
      <c r="A19" s="1">
        <v>1969</v>
      </c>
      <c r="B19" s="5">
        <v>0.025</v>
      </c>
      <c r="C19" s="5">
        <v>0.04</v>
      </c>
      <c r="D19" s="9">
        <f>IF(A19=YEAR(Entry!B$12),IF(UPPER(Entry!B$16)="R",Principal!H$25,Principal!H$40),0)</f>
        <v>0</v>
      </c>
      <c r="E19" s="9">
        <f>IF(YEAR(Entry!B$12)=A19,ROUND(Rates!A$102*D19*B19,2),ROUND(F18*B19,2))</f>
        <v>0</v>
      </c>
      <c r="F19" s="9">
        <f t="shared" si="0"/>
        <v>0</v>
      </c>
      <c r="G19" s="9">
        <f>IF(YEAR(Entry!$B$12)=$A19,ROUND(Rates!$A$102*$D19*C19,2),ROUND(H18*C19,2))</f>
        <v>0</v>
      </c>
      <c r="H19" s="12">
        <f t="shared" si="1"/>
        <v>0</v>
      </c>
    </row>
    <row r="20" spans="1:8" ht="12.75">
      <c r="A20" s="1">
        <v>1970</v>
      </c>
      <c r="B20" s="5">
        <v>0.025</v>
      </c>
      <c r="C20" s="5">
        <v>0.04</v>
      </c>
      <c r="D20" s="9">
        <f>IF(A20=YEAR(Entry!B$12),IF(UPPER(Entry!B$16)="R",Principal!H$25,Principal!H$40),0)</f>
        <v>0</v>
      </c>
      <c r="E20" s="9">
        <f>IF(YEAR(Entry!B$12)=A20,ROUND(Rates!A$102*D20*B20,2),ROUND(F19*B20,2))</f>
        <v>0</v>
      </c>
      <c r="F20" s="9">
        <f t="shared" si="0"/>
        <v>0</v>
      </c>
      <c r="G20" s="9">
        <f>IF(YEAR(Entry!$B$12)=$A20,ROUND(Rates!$A$102*$D20*C20,2),ROUND(H19*C20,2))</f>
        <v>0</v>
      </c>
      <c r="H20" s="12">
        <f t="shared" si="1"/>
        <v>0</v>
      </c>
    </row>
    <row r="21" spans="1:8" ht="12.75">
      <c r="A21" s="1">
        <v>1971</v>
      </c>
      <c r="B21" s="5">
        <v>0.025</v>
      </c>
      <c r="C21" s="5">
        <v>0.04</v>
      </c>
      <c r="D21" s="9">
        <f>IF(A21=YEAR(Entry!B$12),IF(UPPER(Entry!B$16)="R",Principal!H$25,Principal!H$40),0)</f>
        <v>0</v>
      </c>
      <c r="E21" s="9">
        <f>IF(YEAR(Entry!B$12)=A21,ROUND(Rates!A$102*D21*B21,2),ROUND(F20*B21,2))</f>
        <v>0</v>
      </c>
      <c r="F21" s="9">
        <f t="shared" si="0"/>
        <v>0</v>
      </c>
      <c r="G21" s="9">
        <f>IF(YEAR(Entry!$B$12)=$A21,ROUND(Rates!$A$102*$D21*C21,2),ROUND(H20*C21,2))</f>
        <v>0</v>
      </c>
      <c r="H21" s="12">
        <f t="shared" si="1"/>
        <v>0</v>
      </c>
    </row>
    <row r="22" spans="1:8" ht="12.75">
      <c r="A22" s="1">
        <v>1972</v>
      </c>
      <c r="B22" s="5">
        <v>0.025</v>
      </c>
      <c r="C22" s="5">
        <v>0.045</v>
      </c>
      <c r="D22" s="9">
        <f>IF(A22=YEAR(Entry!B$12),IF(UPPER(Entry!B$16)="R",Principal!H$25,Principal!H$40),0)</f>
        <v>0</v>
      </c>
      <c r="E22" s="9">
        <f>IF(YEAR(Entry!B$12)=A22,ROUND(Rates!A$102*D22*B22,2),ROUND(F21*B22,2))</f>
        <v>0</v>
      </c>
      <c r="F22" s="9">
        <f t="shared" si="0"/>
        <v>0</v>
      </c>
      <c r="G22" s="9">
        <f>IF(YEAR(Entry!$B$12)=$A22,ROUND(Rates!$A$102*$D22*C22,2),ROUND(H21*C22,2))</f>
        <v>0</v>
      </c>
      <c r="H22" s="12">
        <f t="shared" si="1"/>
        <v>0</v>
      </c>
    </row>
    <row r="23" spans="1:8" ht="12.75">
      <c r="A23" s="1">
        <v>1973</v>
      </c>
      <c r="B23" s="5">
        <v>0.025</v>
      </c>
      <c r="C23" s="5">
        <v>0.05</v>
      </c>
      <c r="D23" s="9">
        <f>IF(A23=YEAR(Entry!B$12),IF(UPPER(Entry!B$16)="R",Principal!H$25,Principal!H$40),0)</f>
        <v>0</v>
      </c>
      <c r="E23" s="9">
        <f>IF(YEAR(Entry!B$12)=A23,ROUND(Rates!A$102*D23*B23,2),ROUND(F22*B23,2))</f>
        <v>0</v>
      </c>
      <c r="F23" s="9">
        <f t="shared" si="0"/>
        <v>0</v>
      </c>
      <c r="G23" s="9">
        <f>IF(YEAR(Entry!$B$12)=$A23,ROUND(Rates!$A$102*$D23*C23,2),ROUND(H22*C23,2))</f>
        <v>0</v>
      </c>
      <c r="H23" s="12">
        <f t="shared" si="1"/>
        <v>0</v>
      </c>
    </row>
    <row r="24" spans="1:8" ht="12.75">
      <c r="A24" s="1">
        <v>1974</v>
      </c>
      <c r="B24" s="5">
        <v>0.025</v>
      </c>
      <c r="C24" s="5">
        <v>0.05</v>
      </c>
      <c r="D24" s="9">
        <f>IF(A24=YEAR(Entry!B$12),IF(UPPER(Entry!B$16)="R",Principal!H$25,Principal!H$40),0)</f>
        <v>0</v>
      </c>
      <c r="E24" s="9">
        <f>IF(YEAR(Entry!B$12)=A24,ROUND(Rates!A$102*D24*B24,2),ROUND(F23*B24,2))</f>
        <v>0</v>
      </c>
      <c r="F24" s="9">
        <f t="shared" si="0"/>
        <v>0</v>
      </c>
      <c r="G24" s="9">
        <f>IF(YEAR(Entry!$B$12)=$A24,ROUND(Rates!$A$102*$D24*C24,2),ROUND(H23*C24,2))</f>
        <v>0</v>
      </c>
      <c r="H24" s="12">
        <f t="shared" si="1"/>
        <v>0</v>
      </c>
    </row>
    <row r="25" spans="1:8" ht="12.75">
      <c r="A25" s="1">
        <v>1975</v>
      </c>
      <c r="B25" s="5">
        <v>0.025</v>
      </c>
      <c r="C25" s="5">
        <v>0.05</v>
      </c>
      <c r="D25" s="9">
        <f>IF(A25=YEAR(Entry!B$12),IF(UPPER(Entry!B$16)="R",Principal!H$25,Principal!H$40),0)</f>
        <v>0</v>
      </c>
      <c r="E25" s="9">
        <f>IF(YEAR(Entry!B$12)=A25,ROUND(Rates!A$102*D25*B25,2),ROUND(F24*B25,2))</f>
        <v>0</v>
      </c>
      <c r="F25" s="9">
        <f aca="true" t="shared" si="2" ref="F25:F40">+F24+E25+D25</f>
        <v>0</v>
      </c>
      <c r="G25" s="9">
        <f>IF(YEAR(Entry!$B$12)=$A25,ROUND(Rates!$A$102*$D25*C25,2),ROUND(H24*C25,2))</f>
        <v>0</v>
      </c>
      <c r="H25" s="12">
        <f aca="true" t="shared" si="3" ref="H25:H40">+H24+G25+D25</f>
        <v>0</v>
      </c>
    </row>
    <row r="26" spans="1:8" ht="12.75">
      <c r="A26" s="1">
        <v>1976</v>
      </c>
      <c r="B26" s="5">
        <v>0.025</v>
      </c>
      <c r="C26" s="5">
        <v>0.05</v>
      </c>
      <c r="D26" s="9">
        <f>IF(A26=YEAR(Entry!B$12),IF(UPPER(Entry!B$16)="R",Principal!H$25,Principal!H$40),0)</f>
        <v>0</v>
      </c>
      <c r="E26" s="9">
        <f>IF(YEAR(Entry!B$12)=A26,ROUND(Rates!A$102*D26*B26,2),ROUND(F25*B26,2))</f>
        <v>0</v>
      </c>
      <c r="F26" s="9">
        <f t="shared" si="2"/>
        <v>0</v>
      </c>
      <c r="G26" s="9">
        <f>IF(YEAR(Entry!$B$12)=$A26,ROUND(Rates!$A$102*$D26*C26,2),ROUND(H25*C26,2))</f>
        <v>0</v>
      </c>
      <c r="H26" s="12">
        <f t="shared" si="3"/>
        <v>0</v>
      </c>
    </row>
    <row r="27" spans="1:8" ht="12.75">
      <c r="A27" s="1">
        <v>1977</v>
      </c>
      <c r="B27" s="5">
        <v>0.025</v>
      </c>
      <c r="C27" s="5">
        <v>0.05</v>
      </c>
      <c r="D27" s="9">
        <f>IF(A27=YEAR(Entry!B$12),IF(UPPER(Entry!B$16)="R",Principal!H$25,Principal!H$40),0)</f>
        <v>0</v>
      </c>
      <c r="E27" s="9">
        <f>IF(YEAR(Entry!B$12)=A27,ROUND(Rates!A$102*D27*B27,2),ROUND(F26*B27,2))</f>
        <v>0</v>
      </c>
      <c r="F27" s="9">
        <f t="shared" si="2"/>
        <v>0</v>
      </c>
      <c r="G27" s="9">
        <f>IF(YEAR(Entry!$B$12)=$A27,ROUND(Rates!$A$102*$D27*C27,2),ROUND(H26*C27,2))</f>
        <v>0</v>
      </c>
      <c r="H27" s="12">
        <f t="shared" si="3"/>
        <v>0</v>
      </c>
    </row>
    <row r="28" spans="1:8" ht="12.75">
      <c r="A28" s="1">
        <v>1978</v>
      </c>
      <c r="B28" s="5">
        <v>0.025</v>
      </c>
      <c r="C28" s="5">
        <v>0.05</v>
      </c>
      <c r="D28" s="9">
        <f>IF(A28=YEAR(Entry!B$12),IF(UPPER(Entry!B$16)="R",Principal!H$25,Principal!H$40),0)</f>
        <v>0</v>
      </c>
      <c r="E28" s="9">
        <f>IF(YEAR(Entry!B$12)=A28,ROUND(Rates!A$102*D28*B28,2),ROUND(F27*B28,2))</f>
        <v>0</v>
      </c>
      <c r="F28" s="9">
        <f t="shared" si="2"/>
        <v>0</v>
      </c>
      <c r="G28" s="9">
        <f>IF(YEAR(Entry!$B$12)=$A28,ROUND(Rates!$A$102*$D28*C28,2),ROUND(H27*C28,2))</f>
        <v>0</v>
      </c>
      <c r="H28" s="12">
        <f t="shared" si="3"/>
        <v>0</v>
      </c>
    </row>
    <row r="29" spans="1:8" ht="12.75">
      <c r="A29" s="1">
        <v>1979</v>
      </c>
      <c r="B29" s="5">
        <v>0.025</v>
      </c>
      <c r="C29" s="5">
        <v>0.06</v>
      </c>
      <c r="D29" s="9">
        <f>IF(A29=YEAR(Entry!B$12),IF(UPPER(Entry!B$16)="R",Principal!H$25,Principal!H$40),0)</f>
        <v>0</v>
      </c>
      <c r="E29" s="9">
        <f>IF(YEAR(Entry!B$12)=A29,ROUND(Rates!A$102*D29*B29,2),ROUND(F28*B29,2))</f>
        <v>0</v>
      </c>
      <c r="F29" s="9">
        <f t="shared" si="2"/>
        <v>0</v>
      </c>
      <c r="G29" s="9">
        <f>IF(YEAR(Entry!$B$12)=$A29,ROUND(Rates!$A$102*$D29*C29,2),ROUND(H28*C29,2))</f>
        <v>0</v>
      </c>
      <c r="H29" s="12">
        <f t="shared" si="3"/>
        <v>0</v>
      </c>
    </row>
    <row r="30" spans="1:8" ht="12.75">
      <c r="A30" s="1">
        <v>1980</v>
      </c>
      <c r="B30" s="5">
        <v>0.025</v>
      </c>
      <c r="C30" s="5">
        <v>0.06</v>
      </c>
      <c r="D30" s="9">
        <f>IF(A30=YEAR(Entry!B$12),IF(UPPER(Entry!B$16)="R",Principal!H$25,Principal!H$40),0)</f>
        <v>0</v>
      </c>
      <c r="E30" s="9">
        <f>IF(YEAR(Entry!B$12)=A30,ROUND(Rates!A$102*D30*B30,2),ROUND(F29*B30,2))</f>
        <v>0</v>
      </c>
      <c r="F30" s="9">
        <f t="shared" si="2"/>
        <v>0</v>
      </c>
      <c r="G30" s="9">
        <f>IF(YEAR(Entry!$B$12)=$A30,ROUND(Rates!$A$102*$D30*C30,2),ROUND(H29*C30,2))</f>
        <v>0</v>
      </c>
      <c r="H30" s="12">
        <f t="shared" si="3"/>
        <v>0</v>
      </c>
    </row>
    <row r="31" spans="1:8" ht="12.75">
      <c r="A31" s="1">
        <v>1981</v>
      </c>
      <c r="B31" s="5">
        <v>0.025</v>
      </c>
      <c r="C31" s="5">
        <v>0.06</v>
      </c>
      <c r="D31" s="9">
        <f>IF(A31=YEAR(Entry!B$12),IF(UPPER(Entry!B$16)="R",Principal!H$25,Principal!H$40),0)</f>
        <v>0</v>
      </c>
      <c r="E31" s="9">
        <f>IF(YEAR(Entry!B$12)=A31,ROUND(Rates!A$102*D31*B31,2),ROUND(F30*B31,2))</f>
        <v>0</v>
      </c>
      <c r="F31" s="9">
        <f t="shared" si="2"/>
        <v>0</v>
      </c>
      <c r="G31" s="9">
        <f>IF(YEAR(Entry!$B$12)=$A31,ROUND(Rates!$A$102*$D31*C31,2),ROUND(H30*C31,2))</f>
        <v>0</v>
      </c>
      <c r="H31" s="12">
        <f t="shared" si="3"/>
        <v>0</v>
      </c>
    </row>
    <row r="32" spans="1:8" ht="12.75">
      <c r="A32" s="1">
        <v>1982</v>
      </c>
      <c r="B32" s="5">
        <v>0.025</v>
      </c>
      <c r="C32" s="5">
        <v>0.07</v>
      </c>
      <c r="D32" s="9">
        <f>IF(A32=YEAR(Entry!B$12),IF(UPPER(Entry!B$16)="R",Principal!H$25,Principal!H$40),0)</f>
        <v>0</v>
      </c>
      <c r="E32" s="9">
        <f>IF(YEAR(Entry!B$12)=A32,ROUND(Rates!A$102*D32*B32,2),ROUND(F31*B32,2))</f>
        <v>0</v>
      </c>
      <c r="F32" s="9">
        <f t="shared" si="2"/>
        <v>0</v>
      </c>
      <c r="G32" s="9">
        <f>IF(YEAR(Entry!$B$12)=$A32,ROUND(Rates!$A$102*$D32*C32,2),ROUND(H31*C32,2))</f>
        <v>0</v>
      </c>
      <c r="H32" s="12">
        <f t="shared" si="3"/>
        <v>0</v>
      </c>
    </row>
    <row r="33" spans="1:8" ht="12.75">
      <c r="A33" s="1">
        <v>1983</v>
      </c>
      <c r="B33" s="5">
        <v>0.025</v>
      </c>
      <c r="C33" s="5">
        <v>0.07</v>
      </c>
      <c r="D33" s="9">
        <f>IF(A33=YEAR(Entry!B$12),IF(UPPER(Entry!B$16)="R",Principal!H$25,Principal!H$40),0)</f>
        <v>0</v>
      </c>
      <c r="E33" s="9">
        <f>IF(YEAR(Entry!B$12)=A33,ROUND(Rates!A$102*D33*B33,2),ROUND(F32*B33,2))</f>
        <v>0</v>
      </c>
      <c r="F33" s="9">
        <f t="shared" si="2"/>
        <v>0</v>
      </c>
      <c r="G33" s="9">
        <f>IF(YEAR(Entry!$B$12)=$A33,ROUND(Rates!$A$102*$D33*C33,2),ROUND(H32*C33,2))</f>
        <v>0</v>
      </c>
      <c r="H33" s="12">
        <f t="shared" si="3"/>
        <v>0</v>
      </c>
    </row>
    <row r="34" spans="1:8" ht="12.75">
      <c r="A34" s="1">
        <v>1984</v>
      </c>
      <c r="B34" s="5">
        <v>0.025</v>
      </c>
      <c r="C34" s="5">
        <v>0.07</v>
      </c>
      <c r="D34" s="9">
        <f>IF(A34=YEAR(Entry!B$12),IF(UPPER(Entry!B$16)="R",Principal!H$25,Principal!H$40),0)</f>
        <v>0</v>
      </c>
      <c r="E34" s="9">
        <f>IF(YEAR(Entry!B$12)=A34,ROUND(Rates!A$102*D34*B34,2),ROUND(F33*B34,2))</f>
        <v>0</v>
      </c>
      <c r="F34" s="9">
        <f t="shared" si="2"/>
        <v>0</v>
      </c>
      <c r="G34" s="9">
        <f>IF(YEAR(Entry!$B$12)=$A34,ROUND(Rates!$A$102*$D34*C34,2),ROUND(H33*C34,2))</f>
        <v>0</v>
      </c>
      <c r="H34" s="12">
        <f t="shared" si="3"/>
        <v>0</v>
      </c>
    </row>
    <row r="35" spans="1:8" ht="12.75">
      <c r="A35" s="1">
        <v>1985</v>
      </c>
      <c r="B35" s="5">
        <v>0.025</v>
      </c>
      <c r="C35" s="5">
        <v>0.07</v>
      </c>
      <c r="D35" s="9">
        <f>IF(A35=YEAR(Entry!B$12),IF(UPPER(Entry!B$16)="R",Principal!H$25,Principal!H$40),0)</f>
        <v>0</v>
      </c>
      <c r="E35" s="9">
        <f>IF(YEAR(Entry!B$12)=A35,ROUND(Rates!A$102*D35*B35,2),ROUND(F34*B35,2))</f>
        <v>0</v>
      </c>
      <c r="F35" s="9">
        <f t="shared" si="2"/>
        <v>0</v>
      </c>
      <c r="G35" s="9">
        <f>IF(YEAR(Entry!$B$12)=$A35,ROUND(Rates!$A$102*$D35*C35,2),ROUND(H34*C35,2))</f>
        <v>0</v>
      </c>
      <c r="H35" s="12">
        <f t="shared" si="3"/>
        <v>0</v>
      </c>
    </row>
    <row r="36" spans="1:8" ht="12.75">
      <c r="A36" s="1">
        <v>1986</v>
      </c>
      <c r="B36" s="5">
        <v>0.025</v>
      </c>
      <c r="C36" s="5">
        <v>0.07</v>
      </c>
      <c r="D36" s="9">
        <f>IF(A36=YEAR(Entry!B$12),IF(UPPER(Entry!B$16)="R",Principal!H$25,Principal!H$40),0)</f>
        <v>0</v>
      </c>
      <c r="E36" s="9">
        <f>IF(YEAR(Entry!B$12)=A36,ROUND(Rates!A$102*D36*B36,2),ROUND(F35*B36,2))</f>
        <v>0</v>
      </c>
      <c r="F36" s="9">
        <f t="shared" si="2"/>
        <v>0</v>
      </c>
      <c r="G36" s="9">
        <f>IF(YEAR(Entry!$B$12)=$A36,ROUND(Rates!$A$102*$D36*C36,2),ROUND(H35*C36,2))</f>
        <v>0</v>
      </c>
      <c r="H36" s="12">
        <f t="shared" si="3"/>
        <v>0</v>
      </c>
    </row>
    <row r="37" spans="1:8" ht="12.75">
      <c r="A37" s="1">
        <v>1987</v>
      </c>
      <c r="B37" s="5">
        <v>0.025</v>
      </c>
      <c r="C37" s="5">
        <v>0.07</v>
      </c>
      <c r="D37" s="9">
        <f>IF(A37=YEAR(Entry!B$12),IF(UPPER(Entry!B$16)="R",Principal!H$25,Principal!H$40),0)</f>
        <v>0</v>
      </c>
      <c r="E37" s="9">
        <f>IF(YEAR(Entry!B$12)=A37,ROUND(Rates!A$102*D37*B37,2),ROUND(F36*B37,2))</f>
        <v>0</v>
      </c>
      <c r="F37" s="9">
        <f t="shared" si="2"/>
        <v>0</v>
      </c>
      <c r="G37" s="9">
        <f>IF(YEAR(Entry!$B$12)=$A37,ROUND(Rates!$A$102*$D37*C37,2),ROUND(H36*C37,2))</f>
        <v>0</v>
      </c>
      <c r="H37" s="12">
        <f t="shared" si="3"/>
        <v>0</v>
      </c>
    </row>
    <row r="38" spans="1:8" ht="12.75">
      <c r="A38" s="1">
        <v>1988</v>
      </c>
      <c r="B38" s="5">
        <v>0.025</v>
      </c>
      <c r="C38" s="5">
        <v>0.07</v>
      </c>
      <c r="D38" s="9">
        <f>IF(A38=YEAR(Entry!B$12),IF(UPPER(Entry!B$16)="R",Principal!H$25,Principal!H$40),0)</f>
        <v>0</v>
      </c>
      <c r="E38" s="9">
        <f>IF(YEAR(Entry!$B$12)=$A38,ROUND(Rates!$A$102*$D38*B38,2),ROUND(F37*B38,2))</f>
        <v>0</v>
      </c>
      <c r="F38" s="9">
        <f t="shared" si="2"/>
        <v>0</v>
      </c>
      <c r="G38" s="9">
        <f>IF(YEAR(Entry!$B$12)=$A38,ROUND(Rates!$A$102*$D38*C38,2),ROUND(H37*C38,2))</f>
        <v>0</v>
      </c>
      <c r="H38" s="12">
        <f t="shared" si="3"/>
        <v>0</v>
      </c>
    </row>
    <row r="39" spans="1:8" ht="12.75">
      <c r="A39" s="1">
        <v>1989</v>
      </c>
      <c r="B39" s="5">
        <v>0.025</v>
      </c>
      <c r="C39" s="5">
        <v>0.07</v>
      </c>
      <c r="D39" s="9">
        <f>IF(A39=YEAR(Entry!B$12),IF(UPPER(Entry!B$16)="R",Principal!H$25,Principal!H$40),0)</f>
        <v>0</v>
      </c>
      <c r="E39" s="9">
        <f>IF(YEAR(Entry!B$12)=A39,ROUND(Rates!A$102*D39*B39,2),ROUND(F38*B39,2))</f>
        <v>0</v>
      </c>
      <c r="F39" s="9">
        <f t="shared" si="2"/>
        <v>0</v>
      </c>
      <c r="G39" s="9">
        <f>IF(YEAR(Entry!$B$12)=$A39,ROUND(Rates!$A$102*$D39*C39,2),ROUND(H38*C39,2))</f>
        <v>0</v>
      </c>
      <c r="H39" s="12">
        <f t="shared" si="3"/>
        <v>0</v>
      </c>
    </row>
    <row r="40" spans="1:8" ht="12.75">
      <c r="A40" s="1">
        <v>1990</v>
      </c>
      <c r="B40" s="5">
        <v>0.025</v>
      </c>
      <c r="C40" s="5">
        <v>0.07</v>
      </c>
      <c r="D40" s="9">
        <f>IF(A40=YEAR(Entry!B$12),IF(UPPER(Entry!B$16)="R",Principal!H$25,Principal!H$40),0)</f>
        <v>0</v>
      </c>
      <c r="E40" s="9">
        <f>IF(YEAR(Entry!B$12)=A40,ROUND(Rates!A$102*D40*B40,2),ROUND(F39*B40,2))</f>
        <v>0</v>
      </c>
      <c r="F40" s="9">
        <f t="shared" si="2"/>
        <v>0</v>
      </c>
      <c r="G40" s="9">
        <f>IF(YEAR(Entry!$B$12)=$A40,ROUND(Rates!$A$102*$D40*C40,2),ROUND(H39*C40,2))</f>
        <v>0</v>
      </c>
      <c r="H40" s="12">
        <f t="shared" si="3"/>
        <v>0</v>
      </c>
    </row>
    <row r="41" spans="1:8" ht="12.75">
      <c r="A41" s="1">
        <v>1991</v>
      </c>
      <c r="B41" s="5">
        <v>0.025</v>
      </c>
      <c r="C41" s="5">
        <v>0.07</v>
      </c>
      <c r="D41" s="9">
        <f>IF(A41=YEAR(Entry!B$12),IF(UPPER(Entry!B$16)="R",Principal!H$25,Principal!H$40),0)</f>
        <v>0</v>
      </c>
      <c r="E41" s="9">
        <f>IF(YEAR(Entry!B$12)=A41,ROUND(Rates!A$102*D41*B41,2),ROUND(F40*B41,2))</f>
        <v>0</v>
      </c>
      <c r="F41" s="9">
        <f aca="true" t="shared" si="4" ref="F41:F48">+F40+E41+D41</f>
        <v>0</v>
      </c>
      <c r="G41" s="9">
        <f>IF(YEAR(Entry!$B$12)=$A41,ROUND(Rates!$A$102*$D41*C41,2),ROUND(H40*C41,2))</f>
        <v>0</v>
      </c>
      <c r="H41" s="12">
        <f aca="true" t="shared" si="5" ref="H41:H48">+H40+G41+D41</f>
        <v>0</v>
      </c>
    </row>
    <row r="42" spans="1:8" ht="12.75">
      <c r="A42" s="1">
        <v>1992</v>
      </c>
      <c r="B42" s="5">
        <v>0.025</v>
      </c>
      <c r="C42" s="5">
        <v>0.075</v>
      </c>
      <c r="D42" s="9">
        <f>IF(A42=YEAR(Entry!B$12),IF(UPPER(Entry!B$16)="R",Principal!H$25,Principal!H$40),0)</f>
        <v>0</v>
      </c>
      <c r="E42" s="9">
        <f>IF(YEAR(Entry!B$12)=A42,ROUND(Rates!A$102*D42*B42,2),ROUND(F41*B42,2))</f>
        <v>0</v>
      </c>
      <c r="F42" s="9">
        <f t="shared" si="4"/>
        <v>0</v>
      </c>
      <c r="G42" s="9">
        <f>IF(YEAR(Entry!$B$12)=$A42,ROUND(Rates!$A$102*$D42*C42,2),ROUND(H41*C42,2))</f>
        <v>0</v>
      </c>
      <c r="H42" s="12">
        <f t="shared" si="5"/>
        <v>0</v>
      </c>
    </row>
    <row r="43" spans="1:8" ht="12.75">
      <c r="A43" s="1">
        <v>1993</v>
      </c>
      <c r="B43" s="5">
        <v>0.025</v>
      </c>
      <c r="C43" s="5">
        <v>0.075</v>
      </c>
      <c r="D43" s="9">
        <f>IF(A43=YEAR(Entry!B$12),IF(UPPER(Entry!B$16)="R",Principal!H$25,Principal!H$40),0)</f>
        <v>0</v>
      </c>
      <c r="E43" s="9">
        <f>IF(YEAR(Entry!B$12)=A43,ROUND(Rates!A$102*D43*B43,2),ROUND(F42*B43,2))</f>
        <v>0</v>
      </c>
      <c r="F43" s="9">
        <f t="shared" si="4"/>
        <v>0</v>
      </c>
      <c r="G43" s="9">
        <f>IF(YEAR(Entry!$B$12)=$A43,ROUND(Rates!$A$102*$D43*C43,2),ROUND(H42*C43,2))</f>
        <v>0</v>
      </c>
      <c r="H43" s="12">
        <f t="shared" si="5"/>
        <v>0</v>
      </c>
    </row>
    <row r="44" spans="1:8" ht="12.75">
      <c r="A44" s="1">
        <v>1994</v>
      </c>
      <c r="B44" s="5">
        <v>0.025</v>
      </c>
      <c r="C44" s="5">
        <v>0.075</v>
      </c>
      <c r="D44" s="9">
        <f>IF(A44=YEAR(Entry!B$12),IF(UPPER(Entry!B$16)="R",Principal!H$25,Principal!H$40),0)</f>
        <v>0</v>
      </c>
      <c r="E44" s="9">
        <f>IF(YEAR(Entry!B$12)=A44,ROUND(Rates!A$102*D44*B44,2),ROUND(F43*B44,2))</f>
        <v>0</v>
      </c>
      <c r="F44" s="9">
        <f t="shared" si="4"/>
        <v>0</v>
      </c>
      <c r="G44" s="9">
        <f>IF(YEAR(Entry!$B$12)=$A44,ROUND(Rates!$A$102*$D44*C44,2),ROUND(H43*C44,2))</f>
        <v>0</v>
      </c>
      <c r="H44" s="12">
        <f t="shared" si="5"/>
        <v>0</v>
      </c>
    </row>
    <row r="45" spans="1:8" ht="12.75">
      <c r="A45" s="1">
        <v>1995</v>
      </c>
      <c r="B45" s="5">
        <v>0.025</v>
      </c>
      <c r="C45" s="5">
        <v>0.075</v>
      </c>
      <c r="D45" s="9">
        <f>IF(A45=YEAR(Entry!B$12),IF(UPPER(Entry!B$16)="R",Principal!H$25,Principal!H$40),0)</f>
        <v>0</v>
      </c>
      <c r="E45" s="9">
        <f>IF(YEAR(Entry!B$12)=A45,ROUND(Rates!A$102*D45*B45,2),ROUND(F44*B45,2))</f>
        <v>0</v>
      </c>
      <c r="F45" s="9">
        <f t="shared" si="4"/>
        <v>0</v>
      </c>
      <c r="G45" s="9">
        <f>IF(YEAR(Entry!$B$12)=$A45,ROUND(Rates!$A$102*$D45*C45,2),ROUND(H44*C45,2))</f>
        <v>0</v>
      </c>
      <c r="H45" s="12">
        <f t="shared" si="5"/>
        <v>0</v>
      </c>
    </row>
    <row r="46" spans="1:8" ht="12.75">
      <c r="A46" s="1">
        <v>1996</v>
      </c>
      <c r="B46" s="5">
        <v>0.025</v>
      </c>
      <c r="C46" s="5">
        <v>0.075</v>
      </c>
      <c r="D46" s="9">
        <f>IF(A46=YEAR(Entry!B$12),IF(UPPER(Entry!B$16)="R",Principal!H$25,Principal!H$40),0)</f>
        <v>0</v>
      </c>
      <c r="E46" s="9">
        <f>IF(YEAR(Entry!B$12)=A46,ROUND(Rates!A$102*D46*B46,2),ROUND(F45*B46,2))</f>
        <v>0</v>
      </c>
      <c r="F46" s="9">
        <f t="shared" si="4"/>
        <v>0</v>
      </c>
      <c r="G46" s="9">
        <f>IF(YEAR(Entry!$B$12)=$A46,ROUND(Rates!$A$102*$D46*C46,2),ROUND(H45*C46,2))</f>
        <v>0</v>
      </c>
      <c r="H46" s="12">
        <f t="shared" si="5"/>
        <v>0</v>
      </c>
    </row>
    <row r="47" spans="1:8" ht="12.75">
      <c r="A47" s="1">
        <v>1997</v>
      </c>
      <c r="B47" s="5">
        <v>0.025</v>
      </c>
      <c r="C47" s="5">
        <v>0.075</v>
      </c>
      <c r="D47" s="9">
        <f>IF(A47=YEAR(Entry!B$12),IF(UPPER(Entry!B$16)="R",Principal!H$25,Principal!H$40),0)</f>
        <v>0</v>
      </c>
      <c r="E47" s="9">
        <f>IF(YEAR(Entry!B$12)=A47,ROUND(Rates!A$102*D47*B47,2),ROUND(F46*B47,2))</f>
        <v>0</v>
      </c>
      <c r="F47" s="9">
        <f t="shared" si="4"/>
        <v>0</v>
      </c>
      <c r="G47" s="9">
        <f>IF(YEAR(Entry!$B$12)=$A47,ROUND(Rates!$A$102*$D47*C47,2),ROUND(H46*C47,2))</f>
        <v>0</v>
      </c>
      <c r="H47" s="12">
        <f t="shared" si="5"/>
        <v>0</v>
      </c>
    </row>
    <row r="48" spans="1:8" ht="12.75">
      <c r="A48" s="1">
        <v>1998</v>
      </c>
      <c r="B48" s="5">
        <v>0</v>
      </c>
      <c r="C48" s="5">
        <v>0.075</v>
      </c>
      <c r="D48" s="9">
        <f>IF(A48=YEAR(Entry!B$12),IF(UPPER(Entry!B$16)="R",Principal!H$25,Principal!H$40),0)</f>
        <v>0</v>
      </c>
      <c r="E48" s="9">
        <f>IF(YEAR(Entry!B$12)=A48,ROUND(Rates!A$102*D48*B48,2),ROUND(F47*B48,2))</f>
        <v>0</v>
      </c>
      <c r="F48" s="9">
        <f t="shared" si="4"/>
        <v>0</v>
      </c>
      <c r="G48" s="9">
        <f>IF(YEAR(Entry!$B$12)=$A48,ROUND(Rates!$A$102*$D48*C48,2),ROUND(H47*C48,2))</f>
        <v>0</v>
      </c>
      <c r="H48" s="12">
        <f t="shared" si="5"/>
        <v>0</v>
      </c>
    </row>
    <row r="49" spans="1:8" ht="12.75">
      <c r="A49" s="1">
        <v>1999</v>
      </c>
      <c r="B49" s="5">
        <v>0</v>
      </c>
      <c r="C49" s="5">
        <f>IF(A49&lt;$C$2,C48,0)</f>
        <v>0.075</v>
      </c>
      <c r="D49" s="9">
        <f>IF(A49=YEAR(Entry!B$12),IF(UPPER(Entry!B$16)="R",Principal!H$25,Principal!H$40),0)</f>
        <v>0</v>
      </c>
      <c r="E49" s="9">
        <f>IF(YEAR(Entry!B$12)=A49,ROUND(Rates!A$102*D49*B49,2),ROUND(F48*B49,2))</f>
        <v>0</v>
      </c>
      <c r="F49" s="9">
        <f aca="true" t="shared" si="6" ref="F49:F80">+F48+E49+D49</f>
        <v>0</v>
      </c>
      <c r="G49" s="9">
        <f>IF(YEAR(Entry!$B$12)=$A49,ROUND(Rates!$A$102*$D49*C49,2),ROUND(H48*C49,2))</f>
        <v>0</v>
      </c>
      <c r="H49" s="12">
        <f aca="true" t="shared" si="7" ref="H49:H80">+H48+G49+D49</f>
        <v>0</v>
      </c>
    </row>
    <row r="50" spans="1:8" ht="12.75">
      <c r="A50" s="1">
        <v>2000</v>
      </c>
      <c r="B50" s="5">
        <v>0</v>
      </c>
      <c r="C50" s="5">
        <f aca="true" t="shared" si="8" ref="C50:C80">IF(A50&lt;$C$2,C49,0)</f>
        <v>0.075</v>
      </c>
      <c r="D50" s="9">
        <f>IF(A50=YEAR(Entry!B$12),IF(UPPER(Entry!B$16)="R",Principal!H$25,Principal!H$40),0)</f>
        <v>0</v>
      </c>
      <c r="E50" s="9">
        <f>IF(YEAR(Entry!B$12)=A50,ROUND(Rates!A$102*D50*B50,2),ROUND(F49*B50,2))</f>
        <v>0</v>
      </c>
      <c r="F50" s="9">
        <f t="shared" si="6"/>
        <v>0</v>
      </c>
      <c r="G50" s="9">
        <f>IF(YEAR(Entry!$B$12)=$A50,ROUND(Rates!$A$102*$D50*C50,2),ROUND(H49*C50,2))</f>
        <v>0</v>
      </c>
      <c r="H50" s="12">
        <f t="shared" si="7"/>
        <v>0</v>
      </c>
    </row>
    <row r="51" spans="1:8" ht="12.75">
      <c r="A51" s="1">
        <v>2001</v>
      </c>
      <c r="B51" s="5">
        <v>0</v>
      </c>
      <c r="C51" s="5">
        <f t="shared" si="8"/>
        <v>0.075</v>
      </c>
      <c r="D51" s="9">
        <f>IF(A51=YEAR(Entry!B$12),IF(UPPER(Entry!B$16)="R",Principal!H$25,Principal!H$40),0)</f>
        <v>0</v>
      </c>
      <c r="E51" s="9">
        <f>IF(YEAR(Entry!B$12)=A51,ROUND(Rates!A$102*D51*B51,2),ROUND(F50*B51,2))</f>
        <v>0</v>
      </c>
      <c r="F51" s="9">
        <f t="shared" si="6"/>
        <v>0</v>
      </c>
      <c r="G51" s="9">
        <f>IF(YEAR(Entry!$B$12)=$A51,ROUND(Rates!$A$102*$D51*C51,2),ROUND(H50*C51,2))</f>
        <v>0</v>
      </c>
      <c r="H51" s="12">
        <f t="shared" si="7"/>
        <v>0</v>
      </c>
    </row>
    <row r="52" spans="1:8" ht="12.75">
      <c r="A52" s="1">
        <v>2002</v>
      </c>
      <c r="B52" s="5">
        <v>0</v>
      </c>
      <c r="C52" s="5">
        <f t="shared" si="8"/>
        <v>0.075</v>
      </c>
      <c r="D52" s="9">
        <f>IF(A52=YEAR(Entry!B$12),IF(UPPER(Entry!B$16)="R",Principal!H$25,Principal!H$40),0)</f>
        <v>0</v>
      </c>
      <c r="E52" s="9">
        <f>IF(YEAR(Entry!B$12)=A52,ROUND(Rates!A$102*D52*B52,2),ROUND(F51*B52,2))</f>
        <v>0</v>
      </c>
      <c r="F52" s="9">
        <f t="shared" si="6"/>
        <v>0</v>
      </c>
      <c r="G52" s="9">
        <f>IF(YEAR(Entry!$B$12)=$A52,ROUND(Rates!$A$102*$D52*C52,2),ROUND(H51*C52,2))</f>
        <v>0</v>
      </c>
      <c r="H52" s="12">
        <f t="shared" si="7"/>
        <v>0</v>
      </c>
    </row>
    <row r="53" spans="1:8" ht="12.75">
      <c r="A53" s="1">
        <v>2003</v>
      </c>
      <c r="B53" s="5">
        <v>0</v>
      </c>
      <c r="C53" s="5">
        <f t="shared" si="8"/>
        <v>0.075</v>
      </c>
      <c r="D53" s="9">
        <f>IF(A53=YEAR(Entry!B$12),IF(UPPER(Entry!B$16)="R",Principal!H$25,Principal!H$40),0)</f>
        <v>0</v>
      </c>
      <c r="E53" s="9">
        <f>IF(YEAR(Entry!B$12)=A53,ROUND(Rates!A$102*D53*B53,2),ROUND(F52*B53,2))</f>
        <v>0</v>
      </c>
      <c r="F53" s="9">
        <f t="shared" si="6"/>
        <v>0</v>
      </c>
      <c r="G53" s="9">
        <f>IF(YEAR(Entry!$B$12)=$A53,ROUND(Rates!$A$102*$D53*C53,2),ROUND(H52*C53,2))</f>
        <v>0</v>
      </c>
      <c r="H53" s="12">
        <f t="shared" si="7"/>
        <v>0</v>
      </c>
    </row>
    <row r="54" spans="1:8" ht="12.75">
      <c r="A54" s="1">
        <v>2004</v>
      </c>
      <c r="B54" s="5">
        <v>0</v>
      </c>
      <c r="C54" s="5">
        <f t="shared" si="8"/>
        <v>0.075</v>
      </c>
      <c r="D54" s="9">
        <f>IF(A54=YEAR(Entry!B$12),IF(UPPER(Entry!B$16)="R",Principal!H$25,Principal!H$40),0)</f>
        <v>0</v>
      </c>
      <c r="E54" s="9">
        <f>IF(YEAR(Entry!B$12)=A54,ROUND(Rates!A$102*D54*B54,2),ROUND(F53*B54,2))</f>
        <v>0</v>
      </c>
      <c r="F54" s="9">
        <f t="shared" si="6"/>
        <v>0</v>
      </c>
      <c r="G54" s="9">
        <f>IF(YEAR(Entry!$B$12)=$A54,ROUND(Rates!$A$102*$D54*C54,2),ROUND(H53*C54,2))</f>
        <v>0</v>
      </c>
      <c r="H54" s="12">
        <f t="shared" si="7"/>
        <v>0</v>
      </c>
    </row>
    <row r="55" spans="1:8" ht="12.75">
      <c r="A55" s="1">
        <v>2005</v>
      </c>
      <c r="B55" s="5">
        <v>0</v>
      </c>
      <c r="C55" s="5">
        <f t="shared" si="8"/>
        <v>0.075</v>
      </c>
      <c r="D55" s="9">
        <f>IF(A55=YEAR(Entry!B$12),IF(UPPER(Entry!B$16)="R",Principal!H$25,Principal!H$40),0)</f>
        <v>0</v>
      </c>
      <c r="E55" s="9">
        <f>IF(YEAR(Entry!B$12)=A55,ROUND(Rates!A$102*D55*B55,2),ROUND(F54*B55,2))</f>
        <v>0</v>
      </c>
      <c r="F55" s="9">
        <f t="shared" si="6"/>
        <v>0</v>
      </c>
      <c r="G55" s="9">
        <f>IF(YEAR(Entry!$B$12)=$A55,ROUND(Rates!$A$102*$D55*C55,2),ROUND(H54*C55,2))</f>
        <v>0</v>
      </c>
      <c r="H55" s="12">
        <f t="shared" si="7"/>
        <v>0</v>
      </c>
    </row>
    <row r="56" spans="1:8" ht="12.75">
      <c r="A56" s="1">
        <v>2006</v>
      </c>
      <c r="B56" s="5">
        <v>0</v>
      </c>
      <c r="C56" s="5">
        <f t="shared" si="8"/>
        <v>0.075</v>
      </c>
      <c r="D56" s="9">
        <f>IF(A56=YEAR(Entry!B$12),IF(UPPER(Entry!B$16)="R",Principal!H$25,Principal!H$40),0)</f>
        <v>11159.380000000001</v>
      </c>
      <c r="E56" s="9">
        <f>IF(YEAR(Entry!B$12)=A56,ROUND(Rates!A$102*D56*B56,2),ROUND(F55*B56,2))</f>
        <v>0</v>
      </c>
      <c r="F56" s="9">
        <f t="shared" si="6"/>
        <v>11159.380000000001</v>
      </c>
      <c r="G56" s="9">
        <f>IF(YEAR(Entry!$B$12)=$A56,ROUND(Rates!$A$102*$D56*C56,2),ROUND(H55*C56,2))</f>
        <v>139.87</v>
      </c>
      <c r="H56" s="12">
        <f t="shared" si="7"/>
        <v>11299.250000000002</v>
      </c>
    </row>
    <row r="57" spans="1:8" ht="12.75">
      <c r="A57" s="1">
        <v>2007</v>
      </c>
      <c r="B57" s="5">
        <v>0</v>
      </c>
      <c r="C57" s="5">
        <f t="shared" si="8"/>
        <v>0.075</v>
      </c>
      <c r="D57" s="9">
        <f>IF(A57=YEAR(Entry!B$12),IF(UPPER(Entry!B$16)="R",Principal!H$25,Principal!H$40),0)</f>
        <v>0</v>
      </c>
      <c r="E57" s="9">
        <f>IF(YEAR(Entry!B$12)=A57,ROUND(Rates!A$102*D57*B57,2),ROUND(F56*B57,2))</f>
        <v>0</v>
      </c>
      <c r="F57" s="9">
        <f t="shared" si="6"/>
        <v>11159.380000000001</v>
      </c>
      <c r="G57" s="9">
        <f>IF(YEAR(Entry!$B$12)=$A57,ROUND(Rates!$A$102*$D57*C57,2),ROUND(H56*C57,2))</f>
        <v>847.44</v>
      </c>
      <c r="H57" s="12">
        <f t="shared" si="7"/>
        <v>12146.690000000002</v>
      </c>
    </row>
    <row r="58" spans="1:8" ht="12.75">
      <c r="A58" s="1">
        <v>2008</v>
      </c>
      <c r="B58" s="5">
        <v>0</v>
      </c>
      <c r="C58" s="5">
        <f t="shared" si="8"/>
        <v>0.075</v>
      </c>
      <c r="D58" s="9">
        <f>IF(A58=YEAR(Entry!B$12),IF(UPPER(Entry!B$16)="R",Principal!H$25,Principal!H$40),0)</f>
        <v>0</v>
      </c>
      <c r="E58" s="9">
        <f>IF(YEAR(Entry!B$12)=A58,ROUND(Rates!A$102*D58*B58,2),ROUND(F57*B58,2))</f>
        <v>0</v>
      </c>
      <c r="F58" s="9">
        <f t="shared" si="6"/>
        <v>11159.380000000001</v>
      </c>
      <c r="G58" s="9">
        <f>IF(YEAR(Entry!$B$12)=$A58,ROUND(Rates!$A$102*$D58*C58,2),ROUND(H57*C58,2))</f>
        <v>911</v>
      </c>
      <c r="H58" s="12">
        <f t="shared" si="7"/>
        <v>13057.690000000002</v>
      </c>
    </row>
    <row r="59" spans="1:8" ht="12.75">
      <c r="A59" s="1">
        <v>2009</v>
      </c>
      <c r="B59" s="5">
        <v>0</v>
      </c>
      <c r="C59" s="5">
        <f t="shared" si="8"/>
        <v>0.075</v>
      </c>
      <c r="D59" s="9">
        <f>IF(A59=YEAR(Entry!B$12),IF(UPPER(Entry!B$16)="R",Principal!H$25,Principal!H$40),0)</f>
        <v>0</v>
      </c>
      <c r="E59" s="9">
        <f>IF(YEAR(Entry!B$12)=A59,ROUND(Rates!A$102*D59*B59,2),ROUND(F58*B59,2))</f>
        <v>0</v>
      </c>
      <c r="F59" s="9">
        <f t="shared" si="6"/>
        <v>11159.380000000001</v>
      </c>
      <c r="G59" s="9">
        <f>IF(YEAR(Entry!$B$12)=$A59,ROUND(Rates!$A$102*$D59*C59,2),ROUND(H58*C59,2))</f>
        <v>979.33</v>
      </c>
      <c r="H59" s="12">
        <f t="shared" si="7"/>
        <v>14037.020000000002</v>
      </c>
    </row>
    <row r="60" spans="1:8" ht="12.75">
      <c r="A60" s="1">
        <v>2010</v>
      </c>
      <c r="B60" s="5">
        <v>0</v>
      </c>
      <c r="C60" s="5">
        <f t="shared" si="8"/>
        <v>0.075</v>
      </c>
      <c r="D60" s="9">
        <f>IF(A60=YEAR(Entry!B$12),IF(UPPER(Entry!B$16)="R",Principal!H$25,Principal!H$40),0)</f>
        <v>0</v>
      </c>
      <c r="E60" s="9">
        <f>IF(YEAR(Entry!B$12)=A60,ROUND(Rates!A$102*D60*B60,2),ROUND(F59*B60,2))</f>
        <v>0</v>
      </c>
      <c r="F60" s="9">
        <f t="shared" si="6"/>
        <v>11159.380000000001</v>
      </c>
      <c r="G60" s="9">
        <f>IF(YEAR(Entry!$B$12)=$A60,ROUND(Rates!$A$102*$D60*C60,2),ROUND(H59*C60,2))</f>
        <v>1052.78</v>
      </c>
      <c r="H60" s="12">
        <f t="shared" si="7"/>
        <v>15089.800000000003</v>
      </c>
    </row>
    <row r="61" spans="1:8" ht="12.75">
      <c r="A61" s="1">
        <v>2011</v>
      </c>
      <c r="B61" s="5">
        <v>0</v>
      </c>
      <c r="C61" s="5">
        <f t="shared" si="8"/>
        <v>0.075</v>
      </c>
      <c r="D61" s="9">
        <f>IF(A61=YEAR(Entry!B$12),IF(UPPER(Entry!B$16)="R",Principal!H$25,Principal!H$40),0)</f>
        <v>0</v>
      </c>
      <c r="E61" s="9">
        <f>IF(YEAR(Entry!B$12)=A61,ROUND(Rates!A$102*D61*B61,2),ROUND(F60*B61,2))</f>
        <v>0</v>
      </c>
      <c r="F61" s="9">
        <f t="shared" si="6"/>
        <v>11159.380000000001</v>
      </c>
      <c r="G61" s="9">
        <f>IF(YEAR(Entry!$B$12)=$A61,ROUND(Rates!$A$102*$D61*C61,2),ROUND(H60*C61,2))</f>
        <v>1131.74</v>
      </c>
      <c r="H61" s="12">
        <f t="shared" si="7"/>
        <v>16221.540000000003</v>
      </c>
    </row>
    <row r="62" spans="1:8" ht="12.75">
      <c r="A62" s="1">
        <v>2012</v>
      </c>
      <c r="B62" s="5">
        <v>0</v>
      </c>
      <c r="C62" s="5">
        <f t="shared" si="8"/>
        <v>0.075</v>
      </c>
      <c r="D62" s="9">
        <f>IF(A62=YEAR(Entry!B$12),IF(UPPER(Entry!B$16)="R",Principal!H$25,Principal!H$40),0)</f>
        <v>0</v>
      </c>
      <c r="E62" s="9">
        <f>IF(YEAR(Entry!B$12)=A62,ROUND(Rates!A$102*D62*B62,2),ROUND(F61*B62,2))</f>
        <v>0</v>
      </c>
      <c r="F62" s="9">
        <f t="shared" si="6"/>
        <v>11159.380000000001</v>
      </c>
      <c r="G62" s="9">
        <f>IF(YEAR(Entry!$B$12)=$A62,ROUND(Rates!$A$102*$D62*C62,2),ROUND(H61*C62,2))</f>
        <v>1216.62</v>
      </c>
      <c r="H62" s="12">
        <f t="shared" si="7"/>
        <v>17438.160000000003</v>
      </c>
    </row>
    <row r="63" spans="1:8" ht="12.75">
      <c r="A63" s="1">
        <v>2013</v>
      </c>
      <c r="B63" s="5">
        <v>0</v>
      </c>
      <c r="C63" s="5">
        <f t="shared" si="8"/>
        <v>0.075</v>
      </c>
      <c r="D63" s="9">
        <f>IF(A63=YEAR(Entry!B$12),IF(UPPER(Entry!B$16)="R",Principal!H$25,Principal!H$40),0)</f>
        <v>0</v>
      </c>
      <c r="E63" s="9">
        <f>IF(YEAR(Entry!B$12)=A63,ROUND(Rates!A$102*D63*B63,2),ROUND(F62*B63,2))</f>
        <v>0</v>
      </c>
      <c r="F63" s="9">
        <f t="shared" si="6"/>
        <v>11159.380000000001</v>
      </c>
      <c r="G63" s="9">
        <f>IF(YEAR(Entry!$B$12)=$A63,ROUND(Rates!$A$102*$D63*C63,2),ROUND(H62*C63,2))</f>
        <v>1307.86</v>
      </c>
      <c r="H63" s="12">
        <f t="shared" si="7"/>
        <v>18746.020000000004</v>
      </c>
    </row>
    <row r="64" spans="1:8" ht="12.75">
      <c r="A64" s="1">
        <v>2014</v>
      </c>
      <c r="B64" s="5">
        <v>0</v>
      </c>
      <c r="C64" s="5">
        <f t="shared" si="8"/>
        <v>0.075</v>
      </c>
      <c r="D64" s="9">
        <f>IF(A64=YEAR(Entry!B$12),IF(UPPER(Entry!B$16)="R",Principal!H$25,Principal!H$40),0)</f>
        <v>0</v>
      </c>
      <c r="E64" s="9">
        <f>IF(YEAR(Entry!B$12)=A64,ROUND(Rates!A$102*D64*B64,2),ROUND(F63*B64,2))</f>
        <v>0</v>
      </c>
      <c r="F64" s="9">
        <f t="shared" si="6"/>
        <v>11159.380000000001</v>
      </c>
      <c r="G64" s="9">
        <f>IF(YEAR(Entry!$B$12)=$A64,ROUND(Rates!$A$102*$D64*C64,2),ROUND(H63*C64,2))</f>
        <v>1405.95</v>
      </c>
      <c r="H64" s="12">
        <f t="shared" si="7"/>
        <v>20151.970000000005</v>
      </c>
    </row>
    <row r="65" spans="1:8" ht="12.75">
      <c r="A65" s="1">
        <v>2015</v>
      </c>
      <c r="B65" s="5">
        <v>0</v>
      </c>
      <c r="C65" s="5">
        <f t="shared" si="8"/>
        <v>0.075</v>
      </c>
      <c r="D65" s="9">
        <f>IF(A65=YEAR(Entry!B$12),IF(UPPER(Entry!B$16)="R",Principal!H$25,Principal!H$40),0)</f>
        <v>0</v>
      </c>
      <c r="E65" s="9">
        <f>IF(YEAR(Entry!B$12)=A65,ROUND(Rates!A$102*D65*B65,2),ROUND(F64*B65,2))</f>
        <v>0</v>
      </c>
      <c r="F65" s="9">
        <f t="shared" si="6"/>
        <v>11159.380000000001</v>
      </c>
      <c r="G65" s="9">
        <f>IF(YEAR(Entry!$B$12)=$A65,ROUND(Rates!$A$102*$D65*C65,2),ROUND(H64*C65,2))</f>
        <v>1511.4</v>
      </c>
      <c r="H65" s="12">
        <f t="shared" si="7"/>
        <v>21663.370000000006</v>
      </c>
    </row>
    <row r="66" spans="1:9" ht="12.75">
      <c r="A66" s="1">
        <v>2016</v>
      </c>
      <c r="B66" s="5">
        <v>0</v>
      </c>
      <c r="C66" s="5">
        <f t="shared" si="8"/>
        <v>0.075</v>
      </c>
      <c r="D66" s="9">
        <f>IF(A66=YEAR(Entry!B$12),IF(UPPER(Entry!B$16)="R",Principal!H$25,Principal!H$40),0)</f>
        <v>0</v>
      </c>
      <c r="E66" s="9">
        <f>IF(YEAR(Entry!B$12)=A66,ROUND(Rates!A$102*D66*B66,2),ROUND(F65*B66,2))</f>
        <v>0</v>
      </c>
      <c r="F66" s="9">
        <f t="shared" si="6"/>
        <v>11159.380000000001</v>
      </c>
      <c r="G66" s="9">
        <f>IF(YEAR(Entry!$B$12)=$A66,ROUND(Rates!$A$102*$D66*C66,2),ROUND(H65*C66,2))</f>
        <v>1624.75</v>
      </c>
      <c r="H66" s="12">
        <f t="shared" si="7"/>
        <v>23288.120000000006</v>
      </c>
      <c r="I66" s="1">
        <f>A66+1</f>
        <v>2017</v>
      </c>
    </row>
    <row r="67" spans="1:9" ht="12.75">
      <c r="A67" s="1">
        <v>2017</v>
      </c>
      <c r="B67" s="5">
        <v>0</v>
      </c>
      <c r="C67" s="5">
        <f t="shared" si="8"/>
        <v>0.075</v>
      </c>
      <c r="D67" s="9">
        <f>IF(A67=YEAR(Entry!B$12),IF(UPPER(Entry!B$16)="R",Principal!H$25,Principal!H$40),0)</f>
        <v>0</v>
      </c>
      <c r="E67" s="9">
        <f>IF(YEAR(Entry!B$12)=A67,ROUND(Rates!A$102*D67*B67,2),ROUND(F66*B67,2))</f>
        <v>0</v>
      </c>
      <c r="F67" s="9">
        <f t="shared" si="6"/>
        <v>11159.380000000001</v>
      </c>
      <c r="G67" s="9">
        <f>IF(YEAR(Entry!$B$12)=$A67,ROUND(Rates!$A$102*$D67*C67,2),ROUND(H66*C67,2))</f>
        <v>1746.61</v>
      </c>
      <c r="H67" s="12">
        <f t="shared" si="7"/>
        <v>25034.730000000007</v>
      </c>
      <c r="I67" s="1">
        <f aca="true" t="shared" si="9" ref="I67:I75">A67+1</f>
        <v>2018</v>
      </c>
    </row>
    <row r="68" spans="1:9" ht="12.75">
      <c r="A68" s="1">
        <v>2018</v>
      </c>
      <c r="B68" s="5">
        <v>0</v>
      </c>
      <c r="C68" s="5">
        <v>0.075</v>
      </c>
      <c r="D68" s="9">
        <f>IF(A68=YEAR(Entry!B$12),IF(UPPER(Entry!B$16)="R",Principal!H$25,Principal!H$40),0)</f>
        <v>0</v>
      </c>
      <c r="E68" s="9">
        <f>IF(YEAR(Entry!B$12)=A68,ROUND(Rates!A$102*D68*B68,2),ROUND(F67*B68,2))</f>
        <v>0</v>
      </c>
      <c r="F68" s="9">
        <f t="shared" si="6"/>
        <v>11159.380000000001</v>
      </c>
      <c r="G68" s="9">
        <f>IF(YEAR(Entry!$B$12)=$A68,ROUND(Rates!$A$102*$D68*C68,2),ROUND(H67*C68,2))</f>
        <v>1877.6</v>
      </c>
      <c r="H68" s="12">
        <f t="shared" si="7"/>
        <v>26912.330000000005</v>
      </c>
      <c r="I68" s="1">
        <f t="shared" si="9"/>
        <v>2019</v>
      </c>
    </row>
    <row r="69" spans="1:9" ht="12.75">
      <c r="A69" s="1">
        <v>2019</v>
      </c>
      <c r="B69" s="5">
        <v>0</v>
      </c>
      <c r="C69" s="5">
        <f>IF(A69&lt;$C$2,0.0725,0)</f>
        <v>0.0725</v>
      </c>
      <c r="D69" s="9">
        <f>IF(A69=YEAR(Entry!B$12),IF(UPPER(Entry!B$16)="R",Principal!H$25,Principal!H$40),0)</f>
        <v>0</v>
      </c>
      <c r="E69" s="9">
        <f>IF(YEAR(Entry!B$12)=A69,ROUND(Rates!A$102*D69*B69,2),ROUND(F68*B69,2))</f>
        <v>0</v>
      </c>
      <c r="F69" s="9">
        <f t="shared" si="6"/>
        <v>11159.380000000001</v>
      </c>
      <c r="G69" s="9">
        <f>IF(YEAR(Entry!$B$12)=$A69,ROUND(Rates!$A$102*$D69*C69,2),ROUND(H68*C69,2))</f>
        <v>1951.14</v>
      </c>
      <c r="H69" s="12">
        <f t="shared" si="7"/>
        <v>28863.470000000005</v>
      </c>
      <c r="I69" s="1">
        <f t="shared" si="9"/>
        <v>2020</v>
      </c>
    </row>
    <row r="70" spans="1:9" ht="12.75">
      <c r="A70" s="1">
        <v>2020</v>
      </c>
      <c r="B70" s="5">
        <v>0</v>
      </c>
      <c r="C70" s="5">
        <f t="shared" si="8"/>
        <v>0.0725</v>
      </c>
      <c r="D70" s="9">
        <f>IF(A70=YEAR(Entry!B$12),IF(UPPER(Entry!B$16)="R",Principal!H$25,Principal!H$40),0)</f>
        <v>0</v>
      </c>
      <c r="E70" s="9">
        <f>IF(YEAR(Entry!B$12)=A70,ROUND(Rates!A$102*D70*B70,2),ROUND(F69*B70,2))</f>
        <v>0</v>
      </c>
      <c r="F70" s="9">
        <f t="shared" si="6"/>
        <v>11159.380000000001</v>
      </c>
      <c r="G70" s="9">
        <f>IF(YEAR(Entry!$B$12)=$A70,ROUND(Rates!$A$102*$D70*C70,2),ROUND(H69*C70,2))</f>
        <v>2092.6</v>
      </c>
      <c r="H70" s="12">
        <f t="shared" si="7"/>
        <v>30956.070000000003</v>
      </c>
      <c r="I70" s="1">
        <f t="shared" si="9"/>
        <v>2021</v>
      </c>
    </row>
    <row r="71" spans="1:9" ht="12.75">
      <c r="A71" s="1">
        <v>2021</v>
      </c>
      <c r="B71" s="5">
        <v>0</v>
      </c>
      <c r="C71" s="5">
        <f t="shared" si="8"/>
        <v>0.0725</v>
      </c>
      <c r="D71" s="9">
        <f>IF(A71=YEAR(Entry!B$12),IF(UPPER(Entry!B$16)="R",Principal!H$25,Principal!H$40),0)</f>
        <v>0</v>
      </c>
      <c r="E71" s="9">
        <f>IF(YEAR(Entry!B$12)=A71,ROUND(Rates!A$102*D71*B71,2),ROUND(F70*B71,2))</f>
        <v>0</v>
      </c>
      <c r="F71" s="9">
        <f t="shared" si="6"/>
        <v>11159.380000000001</v>
      </c>
      <c r="G71" s="9">
        <f>IF(YEAR(Entry!$B$12)=$A71,ROUND(Rates!$A$102*$D71*C71,2),ROUND(H70*C71,2))</f>
        <v>2244.32</v>
      </c>
      <c r="H71" s="12">
        <f t="shared" si="7"/>
        <v>33200.39000000001</v>
      </c>
      <c r="I71" s="1">
        <f t="shared" si="9"/>
        <v>2022</v>
      </c>
    </row>
    <row r="72" spans="1:9" ht="12.75">
      <c r="A72" s="1">
        <v>2022</v>
      </c>
      <c r="B72" s="5">
        <v>0</v>
      </c>
      <c r="C72" s="5">
        <f t="shared" si="8"/>
        <v>0.0725</v>
      </c>
      <c r="D72" s="9">
        <f>IF(A72=YEAR(Entry!B$12),IF(UPPER(Entry!B$16)="R",Principal!H$25,Principal!H$40),0)</f>
        <v>0</v>
      </c>
      <c r="E72" s="9">
        <f>IF(YEAR(Entry!B$12)=A72,ROUND(Rates!A$102*D72*B72,2),ROUND(F71*B72,2))</f>
        <v>0</v>
      </c>
      <c r="F72" s="9">
        <f t="shared" si="6"/>
        <v>11159.380000000001</v>
      </c>
      <c r="G72" s="9">
        <f>IF(YEAR(Entry!$B$12)=$A72,ROUND(Rates!$A$102*$D72*C72,2),ROUND(H71*C72,2))</f>
        <v>2407.03</v>
      </c>
      <c r="H72" s="12">
        <f t="shared" si="7"/>
        <v>35607.420000000006</v>
      </c>
      <c r="I72" s="1">
        <f t="shared" si="9"/>
        <v>2023</v>
      </c>
    </row>
    <row r="73" spans="1:9" ht="12.75">
      <c r="A73" s="1">
        <v>2023</v>
      </c>
      <c r="B73" s="5">
        <v>0</v>
      </c>
      <c r="C73" s="5">
        <f t="shared" si="8"/>
        <v>0</v>
      </c>
      <c r="D73" s="9">
        <f>IF(A73=YEAR(Entry!B$12),IF(UPPER(Entry!B$16)="R",Principal!H$25,Principal!H$40),0)</f>
        <v>0</v>
      </c>
      <c r="E73" s="9">
        <f>IF(YEAR(Entry!B$12)=A73,ROUND(Rates!A$102*D73*B73,2),ROUND(F72*B73,2))</f>
        <v>0</v>
      </c>
      <c r="F73" s="9">
        <f t="shared" si="6"/>
        <v>11159.380000000001</v>
      </c>
      <c r="G73" s="9">
        <f>IF(YEAR(Entry!$B$12)=$A73,ROUND(Rates!$A$102*$D73*C73,2),ROUND(H72*C73,2))</f>
        <v>0</v>
      </c>
      <c r="H73" s="12">
        <f t="shared" si="7"/>
        <v>35607.420000000006</v>
      </c>
      <c r="I73" s="1">
        <f t="shared" si="9"/>
        <v>2024</v>
      </c>
    </row>
    <row r="74" spans="1:9" ht="12.75">
      <c r="A74" s="1">
        <v>2024</v>
      </c>
      <c r="B74" s="5">
        <v>0</v>
      </c>
      <c r="C74" s="5">
        <f t="shared" si="8"/>
        <v>0</v>
      </c>
      <c r="D74" s="9">
        <f>IF(A74=YEAR(Entry!B$12),IF(UPPER(Entry!B$16)="R",Principal!H$25,Principal!H$40),0)</f>
        <v>0</v>
      </c>
      <c r="E74" s="9">
        <f>IF(YEAR(Entry!B$12)=A74,ROUND(Rates!A$102*D74*B74,2),ROUND(F73*B74,2))</f>
        <v>0</v>
      </c>
      <c r="F74" s="9">
        <f t="shared" si="6"/>
        <v>11159.380000000001</v>
      </c>
      <c r="G74" s="9">
        <f>IF(YEAR(Entry!$B$12)=$A74,ROUND(Rates!$A$102*$D74*C74,2),ROUND(H73*C74,2))</f>
        <v>0</v>
      </c>
      <c r="H74" s="12">
        <f t="shared" si="7"/>
        <v>35607.420000000006</v>
      </c>
      <c r="I74" s="1">
        <f t="shared" si="9"/>
        <v>2025</v>
      </c>
    </row>
    <row r="75" spans="1:9" ht="12.75">
      <c r="A75" s="1">
        <v>2025</v>
      </c>
      <c r="B75" s="5">
        <v>0</v>
      </c>
      <c r="C75" s="5">
        <f t="shared" si="8"/>
        <v>0</v>
      </c>
      <c r="D75" s="9">
        <f>IF(A75=YEAR(Entry!B$12),IF(UPPER(Entry!B$16)="R",Principal!H$25,Principal!H$40),0)</f>
        <v>0</v>
      </c>
      <c r="E75" s="9">
        <f>IF(YEAR(Entry!B$12)=A75,ROUND(Rates!A$102*D75*B75,2),ROUND(F74*B75,2))</f>
        <v>0</v>
      </c>
      <c r="F75" s="9">
        <f t="shared" si="6"/>
        <v>11159.380000000001</v>
      </c>
      <c r="G75" s="9">
        <f>IF(YEAR(Entry!$B$12)=$A75,ROUND(Rates!$A$102*$D75*C75,2),ROUND(H74*C75,2))</f>
        <v>0</v>
      </c>
      <c r="H75" s="12">
        <f t="shared" si="7"/>
        <v>35607.420000000006</v>
      </c>
      <c r="I75" s="1">
        <f t="shared" si="9"/>
        <v>2026</v>
      </c>
    </row>
    <row r="76" spans="1:8" ht="12.75">
      <c r="A76" s="1">
        <v>2026</v>
      </c>
      <c r="B76" s="5">
        <v>0</v>
      </c>
      <c r="C76" s="5">
        <f t="shared" si="8"/>
        <v>0</v>
      </c>
      <c r="D76" s="9">
        <f>IF(A76=YEAR(Entry!B$12),IF(UPPER(Entry!B$16)="R",Principal!H$25,Principal!H$40),0)</f>
        <v>0</v>
      </c>
      <c r="E76" s="9">
        <f>IF(YEAR(Entry!B$12)=A76,ROUND(Rates!A$102*D76*B76,2),ROUND(F75*B76,2))</f>
        <v>0</v>
      </c>
      <c r="F76" s="9">
        <f t="shared" si="6"/>
        <v>11159.380000000001</v>
      </c>
      <c r="G76" s="9">
        <f>IF(YEAR(Entry!$B$12)=$A76,ROUND(Rates!$A$102*$D76*C76,2),ROUND(H75*C76,2))</f>
        <v>0</v>
      </c>
      <c r="H76" s="12">
        <f t="shared" si="7"/>
        <v>35607.420000000006</v>
      </c>
    </row>
    <row r="77" spans="1:8" ht="12.75">
      <c r="A77" s="1">
        <v>2027</v>
      </c>
      <c r="B77" s="5">
        <v>0</v>
      </c>
      <c r="C77" s="5">
        <f t="shared" si="8"/>
        <v>0</v>
      </c>
      <c r="D77" s="9">
        <f>IF(A77=YEAR(Entry!B$12),IF(UPPER(Entry!B$16)="R",Principal!H$25,Principal!H$40),0)</f>
        <v>0</v>
      </c>
      <c r="E77" s="9">
        <f>IF(YEAR(Entry!B$12)=A77,ROUND(Rates!A$102*D77*B77,2),ROUND(F76*B77,2))</f>
        <v>0</v>
      </c>
      <c r="F77" s="9">
        <f t="shared" si="6"/>
        <v>11159.380000000001</v>
      </c>
      <c r="G77" s="9">
        <f>IF(YEAR(Entry!$B$12)=$A77,ROUND(Rates!$A$102*$D77*C77,2),ROUND(H76*C77,2))</f>
        <v>0</v>
      </c>
      <c r="H77" s="12">
        <f t="shared" si="7"/>
        <v>35607.420000000006</v>
      </c>
    </row>
    <row r="78" spans="1:8" ht="12.75">
      <c r="A78" s="1">
        <v>2028</v>
      </c>
      <c r="B78" s="5">
        <v>0</v>
      </c>
      <c r="C78" s="5">
        <f t="shared" si="8"/>
        <v>0</v>
      </c>
      <c r="D78" s="9">
        <f>IF(A78=YEAR(Entry!B$12),IF(UPPER(Entry!B$16)="R",Principal!H$25,Principal!H$40),0)</f>
        <v>0</v>
      </c>
      <c r="E78" s="9">
        <f>IF(YEAR(Entry!B$12)=A78,ROUND(Rates!A$102*D78*B78,2),ROUND(F77*B78,2))</f>
        <v>0</v>
      </c>
      <c r="F78" s="9">
        <f t="shared" si="6"/>
        <v>11159.380000000001</v>
      </c>
      <c r="G78" s="9">
        <f>IF(YEAR(Entry!$B$12)=$A78,ROUND(Rates!$A$102*$D78*C78,2),ROUND(H77*C78,2))</f>
        <v>0</v>
      </c>
      <c r="H78" s="12">
        <f t="shared" si="7"/>
        <v>35607.420000000006</v>
      </c>
    </row>
    <row r="79" spans="1:8" ht="12.75">
      <c r="A79" s="1">
        <v>2029</v>
      </c>
      <c r="B79" s="5">
        <v>0</v>
      </c>
      <c r="C79" s="5">
        <f t="shared" si="8"/>
        <v>0</v>
      </c>
      <c r="D79" s="9">
        <f>IF(A79=YEAR(Entry!B$12),IF(UPPER(Entry!B$16)="R",Principal!H$25,Principal!H$40),0)</f>
        <v>0</v>
      </c>
      <c r="E79" s="9">
        <f>IF(YEAR(Entry!B$12)=A79,ROUND(Rates!A$102*D79*B79,2),ROUND(F78*B79,2))</f>
        <v>0</v>
      </c>
      <c r="F79" s="9">
        <f t="shared" si="6"/>
        <v>11159.380000000001</v>
      </c>
      <c r="G79" s="9">
        <f>IF(YEAR(Entry!$B$12)=$A79,ROUND(Rates!$A$102*$D79*C79,2),ROUND(H78*C79,2))</f>
        <v>0</v>
      </c>
      <c r="H79" s="12">
        <f t="shared" si="7"/>
        <v>35607.420000000006</v>
      </c>
    </row>
    <row r="80" spans="1:8" ht="12.75">
      <c r="A80" s="1">
        <v>2030</v>
      </c>
      <c r="B80" s="5">
        <v>0</v>
      </c>
      <c r="C80" s="5">
        <f t="shared" si="8"/>
        <v>0</v>
      </c>
      <c r="D80" s="9">
        <f>IF(A80=YEAR(Entry!B$12),IF(UPPER(Entry!B$16)="R",Principal!H$25,Principal!H$40),0)</f>
        <v>0</v>
      </c>
      <c r="E80" s="9">
        <f>IF(YEAR(Entry!B$12)=A80,ROUND(Rates!A$102*D80*B80,2),ROUND(F79*B80,2))</f>
        <v>0</v>
      </c>
      <c r="F80" s="9">
        <f t="shared" si="6"/>
        <v>11159.380000000001</v>
      </c>
      <c r="G80" s="9">
        <f>IF(YEAR(Entry!$B$12)=$A80,ROUND(Rates!$A$102*$D80*C80,2),ROUND(H79*C80,2))</f>
        <v>0</v>
      </c>
      <c r="H80" s="12">
        <f t="shared" si="7"/>
        <v>35607.420000000006</v>
      </c>
    </row>
  </sheetData>
  <sheetProtection/>
  <printOptions gridLines="1"/>
  <pageMargins left="0.75" right="0.75" top="1" bottom="0.5"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N48"/>
  <sheetViews>
    <sheetView zoomScalePageLayoutView="0" workbookViewId="0" topLeftCell="A13">
      <selection activeCell="G38" sqref="G38"/>
    </sheetView>
  </sheetViews>
  <sheetFormatPr defaultColWidth="9.140625" defaultRowHeight="12.75"/>
  <cols>
    <col min="1" max="1" width="5.00390625" style="0" customWidth="1"/>
    <col min="2" max="2" width="19.00390625" style="0" customWidth="1"/>
    <col min="3" max="3" width="8.421875" style="0" customWidth="1"/>
    <col min="4" max="6" width="9.00390625" style="0" customWidth="1"/>
    <col min="7" max="7" width="11.28125" style="0" customWidth="1"/>
    <col min="8" max="8" width="13.28125" style="0" customWidth="1"/>
  </cols>
  <sheetData>
    <row r="1" spans="1:7" ht="12.75">
      <c r="A1" s="27" t="str">
        <f>Entry!B4</f>
        <v>John Smith</v>
      </c>
      <c r="D1" s="27" t="s">
        <v>104</v>
      </c>
      <c r="E1" s="27"/>
      <c r="F1" s="27"/>
      <c r="G1" s="27">
        <f>Entry!B10</f>
        <v>0</v>
      </c>
    </row>
    <row r="2" ht="12.75">
      <c r="K2" t="s">
        <v>184</v>
      </c>
    </row>
    <row r="3" spans="12:13" ht="12.75">
      <c r="L3" t="s">
        <v>182</v>
      </c>
      <c r="M3" t="s">
        <v>183</v>
      </c>
    </row>
    <row r="4" spans="1:14" ht="15.75">
      <c r="A4" s="20" t="s">
        <v>116</v>
      </c>
      <c r="K4">
        <f>IF(SUM(K5:K$8)&gt;0,0,L4)</f>
        <v>0</v>
      </c>
      <c r="L4">
        <f>MIN(C13,D10)</f>
        <v>10</v>
      </c>
      <c r="M4">
        <f>D10-L4</f>
        <v>14</v>
      </c>
      <c r="N4">
        <f>D13</f>
        <v>2006</v>
      </c>
    </row>
    <row r="5" spans="11:14" ht="12.75">
      <c r="K5">
        <f>IF(SUM(K6:K$8)&gt;0,0,L5)</f>
        <v>0</v>
      </c>
      <c r="L5">
        <f>MIN(12,M4)</f>
        <v>12</v>
      </c>
      <c r="M5">
        <f>M4-L5</f>
        <v>2</v>
      </c>
      <c r="N5">
        <f>IF(L5&gt;0,N4-1,N4)</f>
        <v>2005</v>
      </c>
    </row>
    <row r="6" spans="2:14" ht="12.75">
      <c r="B6" s="6" t="s">
        <v>117</v>
      </c>
      <c r="C6">
        <f>MONTH(Entry!B17)</f>
        <v>11</v>
      </c>
      <c r="D6">
        <f>YEAR(Entry!B17)</f>
        <v>2004</v>
      </c>
      <c r="K6">
        <f>IF(SUM(K7:K$8)&gt;0,0,L6)</f>
        <v>2</v>
      </c>
      <c r="L6">
        <f>MIN(12,M5)</f>
        <v>2</v>
      </c>
      <c r="M6">
        <f>M5-L6</f>
        <v>0</v>
      </c>
      <c r="N6">
        <f>IF(L6&gt;0,N5-1,N5)</f>
        <v>2004</v>
      </c>
    </row>
    <row r="7" spans="2:14" ht="12.75">
      <c r="B7" s="6" t="s">
        <v>118</v>
      </c>
      <c r="C7">
        <f>MONTH(Entry!B18)</f>
        <v>10</v>
      </c>
      <c r="D7">
        <f>YEAR(Entry!B18)</f>
        <v>2006</v>
      </c>
      <c r="K7">
        <f>IF(SUM(K$8:K8)&gt;0,0,L7)</f>
        <v>0</v>
      </c>
      <c r="L7">
        <f>MIN(12,M6)</f>
        <v>0</v>
      </c>
      <c r="M7">
        <f>M6-L7</f>
        <v>0</v>
      </c>
      <c r="N7">
        <f>IF(L7&gt;0,N6-1,N6)</f>
        <v>2004</v>
      </c>
    </row>
    <row r="8" spans="2:14" ht="12.75">
      <c r="B8" s="6"/>
      <c r="K8">
        <f>L8</f>
        <v>0</v>
      </c>
      <c r="L8" s="13">
        <f>MIN(12,M7)</f>
        <v>0</v>
      </c>
      <c r="M8" s="13">
        <f>M7-L8</f>
        <v>0</v>
      </c>
      <c r="N8" s="13">
        <f>IF(L8&gt;0,N7-1,N7)</f>
        <v>2004</v>
      </c>
    </row>
    <row r="9" spans="2:14" ht="12.75">
      <c r="B9" s="6" t="s">
        <v>119</v>
      </c>
      <c r="D9">
        <f>((D7-D6-1)*12)+C7+(13-C6)</f>
        <v>24</v>
      </c>
      <c r="K9">
        <f>SUM(K4:K8)</f>
        <v>2</v>
      </c>
      <c r="L9">
        <f>SUM(L4:L8)</f>
        <v>24</v>
      </c>
      <c r="N9" s="65">
        <f>N8</f>
        <v>2004</v>
      </c>
    </row>
    <row r="10" spans="2:4" ht="12.75">
      <c r="B10" s="6" t="s">
        <v>120</v>
      </c>
      <c r="D10">
        <f>MIN(Entry!B14,Principal!D9,48)</f>
        <v>24</v>
      </c>
    </row>
    <row r="11" ht="12.75">
      <c r="B11" s="6"/>
    </row>
    <row r="12" spans="2:4" ht="12.75">
      <c r="B12" s="6" t="s">
        <v>121</v>
      </c>
      <c r="C12">
        <f>13-K9</f>
        <v>11</v>
      </c>
      <c r="D12">
        <f>N9</f>
        <v>2004</v>
      </c>
    </row>
    <row r="13" spans="2:4" ht="12.75">
      <c r="B13" s="6" t="s">
        <v>122</v>
      </c>
      <c r="C13">
        <f>C7</f>
        <v>10</v>
      </c>
      <c r="D13">
        <f>D7</f>
        <v>2006</v>
      </c>
    </row>
    <row r="14" ht="12.75">
      <c r="B14" s="6"/>
    </row>
    <row r="16" ht="15.75">
      <c r="A16" s="20" t="s">
        <v>123</v>
      </c>
    </row>
    <row r="17" spans="3:11" ht="12.75">
      <c r="C17" s="21" t="s">
        <v>124</v>
      </c>
      <c r="E17" t="s">
        <v>125</v>
      </c>
      <c r="F17" s="6" t="s">
        <v>126</v>
      </c>
      <c r="J17" s="6" t="s">
        <v>127</v>
      </c>
      <c r="K17" s="6" t="s">
        <v>128</v>
      </c>
    </row>
    <row r="18" spans="2:11" ht="12.75">
      <c r="B18" s="7" t="s">
        <v>129</v>
      </c>
      <c r="C18" s="7" t="s">
        <v>130</v>
      </c>
      <c r="D18" s="7" t="s">
        <v>131</v>
      </c>
      <c r="E18" s="7" t="s">
        <v>132</v>
      </c>
      <c r="F18" s="7" t="s">
        <v>133</v>
      </c>
      <c r="G18" s="7" t="s">
        <v>134</v>
      </c>
      <c r="H18" s="7" t="s">
        <v>135</v>
      </c>
      <c r="J18" s="7" t="s">
        <v>136</v>
      </c>
      <c r="K18" s="7" t="s">
        <v>136</v>
      </c>
    </row>
    <row r="19" spans="1:11" ht="12.75">
      <c r="A19">
        <v>5</v>
      </c>
      <c r="B19" t="str">
        <f>IF(B$24-A19&gt;=D$12,B$24-A19,"*")</f>
        <v>*</v>
      </c>
      <c r="C19" t="b">
        <f>IF(B19&lt;&gt;"*",IF(B19=D$12,13-C$12,12))</f>
        <v>0</v>
      </c>
      <c r="D19" s="5" t="e">
        <f>VLOOKUP(B19,Rates!$A$7:$I$91,Rates!$B$98)</f>
        <v>#N/A</v>
      </c>
      <c r="E19" s="5" t="e">
        <f>IF(F19&gt;0,VLOOKUP(B19,Rates!$A$7:$M$91,13)+D19,D19)</f>
        <v>#N/A</v>
      </c>
      <c r="F19" s="33" t="e">
        <f>VLOOKUP(B19,Rates!$A$7:$M$91,12)</f>
        <v>#N/A</v>
      </c>
      <c r="G19" s="9">
        <f>IF(B19="*",0,ROUND(Entry!$B$13/12*C19,2))</f>
        <v>0</v>
      </c>
      <c r="H19" s="9">
        <f aca="true" t="shared" si="0" ref="H19:H24">IF(B19="*",0,IF(F19&gt;0,J19+K19,ROUND(G19*D19,2)))</f>
        <v>0</v>
      </c>
      <c r="J19" t="e">
        <f aca="true" t="shared" si="1" ref="J19:J24">ROUND(MIN(F19,G19)*D19,2)</f>
        <v>#N/A</v>
      </c>
      <c r="K19" t="e">
        <f aca="true" t="shared" si="2" ref="K19:K24">IF(G19&gt;F19,ROUND((G19-F19)*E19,2),0)</f>
        <v>#N/A</v>
      </c>
    </row>
    <row r="20" spans="1:11" ht="12.75">
      <c r="A20">
        <v>4</v>
      </c>
      <c r="B20" t="str">
        <f>IF(N8=N7,"*",N8)</f>
        <v>*</v>
      </c>
      <c r="C20">
        <f>L8</f>
        <v>0</v>
      </c>
      <c r="D20" s="5" t="e">
        <f>VLOOKUP(B20,Rates!$A$7:$I$91,Rates!$B$98)</f>
        <v>#N/A</v>
      </c>
      <c r="E20" s="5" t="e">
        <f>IF(F20&gt;0,VLOOKUP(B20,Rates!$A$7:$M$91,13)+D20,D20)</f>
        <v>#N/A</v>
      </c>
      <c r="F20" s="33"/>
      <c r="G20" s="9">
        <f>IF(B20="*",0,ROUND(Entry!$B$13/12*C20,2))</f>
        <v>0</v>
      </c>
      <c r="H20" s="9">
        <f t="shared" si="0"/>
        <v>0</v>
      </c>
      <c r="J20" t="e">
        <f t="shared" si="1"/>
        <v>#N/A</v>
      </c>
      <c r="K20">
        <f t="shared" si="2"/>
        <v>0</v>
      </c>
    </row>
    <row r="21" spans="1:11" ht="12.75">
      <c r="A21">
        <v>3</v>
      </c>
      <c r="B21" t="str">
        <f>IF(N7=N6,"*",N7)</f>
        <v>*</v>
      </c>
      <c r="C21">
        <f>L7</f>
        <v>0</v>
      </c>
      <c r="D21" s="5" t="e">
        <f>VLOOKUP(B21,Rates!$A$7:$I$91,Rates!$B$98)</f>
        <v>#N/A</v>
      </c>
      <c r="E21" s="5" t="e">
        <f>IF(F21&gt;0,VLOOKUP(B21,Rates!$A$7:$M$91,13)+D21,D21)</f>
        <v>#N/A</v>
      </c>
      <c r="F21" s="33"/>
      <c r="G21" s="9">
        <f>IF(B21="*",0,ROUND(Entry!$B$13/12*C21,2))</f>
        <v>0</v>
      </c>
      <c r="H21" s="9">
        <f t="shared" si="0"/>
        <v>0</v>
      </c>
      <c r="J21" t="e">
        <f t="shared" si="1"/>
        <v>#N/A</v>
      </c>
      <c r="K21">
        <f t="shared" si="2"/>
        <v>0</v>
      </c>
    </row>
    <row r="22" spans="1:11" ht="12.75">
      <c r="A22">
        <v>2</v>
      </c>
      <c r="B22">
        <f>IF(N6=B23,"*",N6)</f>
        <v>2004</v>
      </c>
      <c r="C22">
        <f>L6</f>
        <v>2</v>
      </c>
      <c r="D22" s="5">
        <f>VLOOKUP(B22,Rates!$A$7:$I$91,Rates!$B$98)</f>
        <v>0.121</v>
      </c>
      <c r="E22" s="5">
        <f>IF(F22&gt;0,VLOOKUP(B22,Rates!$A$7:$M$91,13)+D22,D22)</f>
        <v>0.121</v>
      </c>
      <c r="F22" s="33"/>
      <c r="G22" s="9">
        <f>IF(B22="*",0,ROUND(Entry!$B$13/12*C22,2))</f>
        <v>7671.78</v>
      </c>
      <c r="H22" s="9">
        <f t="shared" si="0"/>
        <v>928.29</v>
      </c>
      <c r="J22">
        <f t="shared" si="1"/>
        <v>928.29</v>
      </c>
      <c r="K22">
        <f t="shared" si="2"/>
        <v>928.29</v>
      </c>
    </row>
    <row r="23" spans="1:11" ht="12.75">
      <c r="A23">
        <v>1</v>
      </c>
      <c r="B23">
        <f>IF(N5=B24,"*",N5)</f>
        <v>2005</v>
      </c>
      <c r="C23">
        <f>L5</f>
        <v>12</v>
      </c>
      <c r="D23" s="5">
        <f>VLOOKUP(B23,Rates!$A$7:$I$91,Rates!$B$98)</f>
        <v>0.12110000000000001</v>
      </c>
      <c r="E23" s="5">
        <f>IF(F23&gt;0,VLOOKUP(B23,Rates!$A$7:$M$91,13)+D23,D23)</f>
        <v>0.12110000000000001</v>
      </c>
      <c r="F23" s="33">
        <f>VLOOKUP(B23,Rates!$A$7:$M$91,12)</f>
        <v>0</v>
      </c>
      <c r="G23" s="9">
        <f>IF(B23="*",0,ROUND(Entry!$B$13/12*C23,2))</f>
        <v>46030.68</v>
      </c>
      <c r="H23" s="9">
        <f t="shared" si="0"/>
        <v>5574.32</v>
      </c>
      <c r="J23">
        <f t="shared" si="1"/>
        <v>0</v>
      </c>
      <c r="K23">
        <f t="shared" si="2"/>
        <v>5574.32</v>
      </c>
    </row>
    <row r="24" spans="1:11" ht="12.75">
      <c r="A24">
        <v>0</v>
      </c>
      <c r="B24">
        <f>D$13</f>
        <v>2006</v>
      </c>
      <c r="C24" s="13">
        <f>L4</f>
        <v>10</v>
      </c>
      <c r="D24" s="5">
        <f>VLOOKUP(B24,Rates!$A$7:$I$91,Rates!$B$98)</f>
        <v>0.12140000000000001</v>
      </c>
      <c r="E24" s="5">
        <f>IF(F24&gt;0,VLOOKUP(B24,Rates!$A$7:$M$91,13)+D24,D24)</f>
        <v>0.12140000000000001</v>
      </c>
      <c r="F24" s="33">
        <f>VLOOKUP(B24,Rates!$A$7:$M$91,12)</f>
        <v>0</v>
      </c>
      <c r="G24" s="9">
        <f>ROUND(Entry!$B$13/12*C24,2)</f>
        <v>38358.9</v>
      </c>
      <c r="H24" s="9">
        <f t="shared" si="0"/>
        <v>4656.77</v>
      </c>
      <c r="J24">
        <f t="shared" si="1"/>
        <v>0</v>
      </c>
      <c r="K24">
        <f t="shared" si="2"/>
        <v>4656.77</v>
      </c>
    </row>
    <row r="25" spans="3:8" ht="12.75">
      <c r="C25">
        <f>SUM(C19:C24)</f>
        <v>24</v>
      </c>
      <c r="H25" s="9">
        <f>SUM(H19:H24)</f>
        <v>11159.380000000001</v>
      </c>
    </row>
    <row r="28" ht="15.75">
      <c r="A28" s="20" t="s">
        <v>137</v>
      </c>
    </row>
    <row r="29" ht="12.75">
      <c r="C29" s="21" t="s">
        <v>124</v>
      </c>
    </row>
    <row r="30" spans="2:8" ht="12.75">
      <c r="B30" s="7" t="s">
        <v>129</v>
      </c>
      <c r="C30" s="7" t="s">
        <v>130</v>
      </c>
      <c r="D30" s="7" t="s">
        <v>113</v>
      </c>
      <c r="E30" s="7"/>
      <c r="F30" s="7"/>
      <c r="G30" s="7" t="s">
        <v>134</v>
      </c>
      <c r="H30" s="7" t="s">
        <v>135</v>
      </c>
    </row>
    <row r="31" spans="2:11" ht="12.75">
      <c r="B31" t="str">
        <f aca="true" t="shared" si="3" ref="B31:C34">B20</f>
        <v>*</v>
      </c>
      <c r="C31">
        <f t="shared" si="3"/>
        <v>0</v>
      </c>
      <c r="D31" s="5" t="e">
        <f>IF(OR(B31=1973,B31=1988),0,VLOOKUP(B31,Rates!$A$7:$I$91,Rates!$C$98))</f>
        <v>#N/A</v>
      </c>
      <c r="E31" s="5" t="e">
        <f>IF(F31&gt;0,VLOOKUP(B31,Rates!$A$7:$M$91,13)+D31,D31)</f>
        <v>#N/A</v>
      </c>
      <c r="F31" s="33" t="e">
        <f>VLOOKUP(B31,Rates!$A$7:$M$91,12)</f>
        <v>#N/A</v>
      </c>
      <c r="G31" s="9">
        <f>IF(B31="*",0,ROUND(Entry!$B$13/12*C31,2))</f>
        <v>0</v>
      </c>
      <c r="H31" s="9">
        <f>IF(B31="*",0,IF(F31&gt;0,J31+K31,ROUND(G31*D31,2)))</f>
        <v>0</v>
      </c>
      <c r="J31" t="e">
        <f>ROUND(MIN(F31,G31)*D31,2)</f>
        <v>#N/A</v>
      </c>
      <c r="K31" t="e">
        <f>IF(G31&gt;F31,ROUND((G31-F31)*E31,2),0)</f>
        <v>#N/A</v>
      </c>
    </row>
    <row r="32" spans="2:11" ht="12.75">
      <c r="B32" t="str">
        <f t="shared" si="3"/>
        <v>*</v>
      </c>
      <c r="C32">
        <f t="shared" si="3"/>
        <v>0</v>
      </c>
      <c r="D32" s="5" t="e">
        <f>IF(OR(B32=1973,B32=1988),0,VLOOKUP(B32,Rates!$A$7:$I$91,Rates!$C$98))</f>
        <v>#N/A</v>
      </c>
      <c r="E32" s="5" t="e">
        <f>IF(F32&gt;0,VLOOKUP(B32,Rates!$A$7:$M$91,13)+D32,D32)</f>
        <v>#N/A</v>
      </c>
      <c r="F32" s="33" t="e">
        <f>VLOOKUP(B32,Rates!$A$7:$M$91,12)</f>
        <v>#N/A</v>
      </c>
      <c r="G32" s="9">
        <f>IF(B32="*",0,ROUND(Entry!$B$13/12*C32,2))</f>
        <v>0</v>
      </c>
      <c r="H32" s="9">
        <f>IF(B32="*",0,IF(F32&gt;0,J32+K32,ROUND(G32*D32,2)))</f>
        <v>0</v>
      </c>
      <c r="J32" t="e">
        <f>ROUND(MIN(F32,G32)*D32,2)</f>
        <v>#N/A</v>
      </c>
      <c r="K32" t="e">
        <f>IF(G32&gt;F32,ROUND((G32-F32)*E32,2),0)</f>
        <v>#N/A</v>
      </c>
    </row>
    <row r="33" spans="2:11" ht="12.75">
      <c r="B33">
        <f t="shared" si="3"/>
        <v>2004</v>
      </c>
      <c r="C33">
        <f t="shared" si="3"/>
        <v>2</v>
      </c>
      <c r="D33" s="5">
        <f>IF(OR(B33=1973,B33=1988),0,VLOOKUP(B33,Rates!$A$7:$I$91,Rates!$C$98))</f>
        <v>0.1897</v>
      </c>
      <c r="E33" s="5">
        <f>IF(F33&gt;0,VLOOKUP(B33,Rates!$A$7:$M$91,13)+D33,D33)</f>
        <v>0.1897</v>
      </c>
      <c r="F33" s="33">
        <f>VLOOKUP(B33,Rates!$A$7:$M$91,12)</f>
        <v>0</v>
      </c>
      <c r="G33" s="9">
        <f>ROUND(Entry!$B$13/12*C33,2)</f>
        <v>7671.78</v>
      </c>
      <c r="H33" s="9">
        <f>IF(B33="*",0,IF(F33&gt;0,J33+K33,ROUND(G33*D33,2)))</f>
        <v>1455.34</v>
      </c>
      <c r="J33">
        <f>ROUND(MIN(F33,G33)*D33,2)</f>
        <v>0</v>
      </c>
      <c r="K33">
        <f>IF(G33&gt;F33,ROUND((G33-F33)*E33,2),0)</f>
        <v>1455.34</v>
      </c>
    </row>
    <row r="34" spans="2:11" ht="12.75">
      <c r="B34">
        <f t="shared" si="3"/>
        <v>2005</v>
      </c>
      <c r="C34">
        <f t="shared" si="3"/>
        <v>12</v>
      </c>
      <c r="D34" s="5">
        <f>IF(OR(B34=1973,B34=1988),0,VLOOKUP(B34,Rates!$A$7:$I$91,Rates!$C$98))</f>
        <v>0.1898</v>
      </c>
      <c r="E34" s="5">
        <f>IF(F34&gt;0,VLOOKUP(B34,Rates!$A$7:$M$91,13)+D34,D34)</f>
        <v>0.1898</v>
      </c>
      <c r="F34" s="33">
        <f>VLOOKUP(B34,Rates!$A$7:$M$91,12)</f>
        <v>0</v>
      </c>
      <c r="G34" s="9">
        <f>ROUND(Entry!$B$13/12*C34,2)</f>
        <v>46030.68</v>
      </c>
      <c r="H34" s="9">
        <f>IF(B34="*",0,IF(F34&gt;0,J34+K34,ROUND(G34*D34,2)))</f>
        <v>8736.62</v>
      </c>
      <c r="J34">
        <f>ROUND(MIN(F34,G34)*D34,2)</f>
        <v>0</v>
      </c>
      <c r="K34">
        <f>IF(G34&gt;F34,ROUND((G34-F34)*E34,2),0)</f>
        <v>8736.62</v>
      </c>
    </row>
    <row r="35" spans="2:11" ht="12.75">
      <c r="B35">
        <f>B24</f>
        <v>2006</v>
      </c>
      <c r="C35">
        <f>C24</f>
        <v>10</v>
      </c>
      <c r="D35" s="5">
        <f>IF(OR(B35=1973,B35=1988),0,VLOOKUP(B35,Rates!$A$7:$I$91,Rates!$C$98))</f>
        <v>0.2006</v>
      </c>
      <c r="E35" s="5">
        <f>IF(F35&gt;0,VLOOKUP(B35,Rates!$A$7:$M$91,13)+D35,D35)</f>
        <v>0.2006</v>
      </c>
      <c r="F35" s="33">
        <f>VLOOKUP(B35,Rates!$A$7:$M$91,12)</f>
        <v>0</v>
      </c>
      <c r="G35" s="9">
        <f>ROUND(Entry!$B$13/12*C35,2)</f>
        <v>38358.9</v>
      </c>
      <c r="H35" s="9">
        <f>IF(B35="*",0,IF(F35&gt;0,J35+K35,ROUND(G35*D35,2)))</f>
        <v>7694.8</v>
      </c>
      <c r="J35">
        <f>ROUND(MIN(F35,G35)*D35,2)</f>
        <v>0</v>
      </c>
      <c r="K35">
        <f>IF(G35&gt;F35,ROUND((G35-F35)*E35,2),0)</f>
        <v>7694.8</v>
      </c>
    </row>
    <row r="36" spans="2:8" ht="12.75">
      <c r="B36">
        <v>1973</v>
      </c>
      <c r="C36">
        <f>IF(D45&gt;6,D45-6,0)</f>
        <v>0</v>
      </c>
      <c r="D36" s="5">
        <f>VLOOKUP(B36,Rates!$A$23:$I$91,Rates!$C$98)-0.01</f>
        <v>0.12300000000000001</v>
      </c>
      <c r="E36" s="5"/>
      <c r="F36" s="5"/>
      <c r="G36" s="9">
        <f>ROUND(Entry!$B$13/12*C36,2)</f>
        <v>0</v>
      </c>
      <c r="H36" s="9">
        <f>IF(B36="*",0,ROUND(G36*D36,2))</f>
        <v>0</v>
      </c>
    </row>
    <row r="37" spans="2:8" ht="12.75">
      <c r="B37">
        <v>1973</v>
      </c>
      <c r="C37">
        <f>IF(D45&lt;7,D45,6)</f>
        <v>0</v>
      </c>
      <c r="D37" s="5">
        <f>VLOOKUP(B37,Rates!$A$23:$I$91,Rates!$C$98)</f>
        <v>0.133</v>
      </c>
      <c r="E37" s="5"/>
      <c r="F37" s="5"/>
      <c r="G37" s="9">
        <f>ROUND(Entry!$B$13/12*C37,2)</f>
        <v>0</v>
      </c>
      <c r="H37" s="9">
        <f>IF(B37="*",0,ROUND(G37*D37,2))</f>
        <v>0</v>
      </c>
    </row>
    <row r="38" spans="2:8" ht="12.75">
      <c r="B38">
        <v>1988</v>
      </c>
      <c r="C38">
        <f>IF(D48&gt;6,D48-6,0)</f>
        <v>0</v>
      </c>
      <c r="D38" s="5">
        <f>VLOOKUP(B38,Rates!$A$23:$I$91,Rates!$C$98)-0.01</f>
        <v>0.099</v>
      </c>
      <c r="E38" s="5"/>
      <c r="F38" s="5"/>
      <c r="G38" s="9">
        <f>ROUND(Entry!$B$13/12*C38,2)</f>
        <v>0</v>
      </c>
      <c r="H38" s="9">
        <f>IF(B38="*",0,ROUND(G38*D38,2))</f>
        <v>0</v>
      </c>
    </row>
    <row r="39" spans="2:8" ht="12.75">
      <c r="B39">
        <v>1988</v>
      </c>
      <c r="C39">
        <f>IF(D48&lt;7,D48,6)</f>
        <v>0</v>
      </c>
      <c r="D39" s="5">
        <f>VLOOKUP(B39,Rates!$A$23:$I$91,Rates!$C$98)</f>
        <v>0.109</v>
      </c>
      <c r="E39" s="5"/>
      <c r="F39" s="5"/>
      <c r="G39" s="9">
        <f>ROUND(Entry!$B$13/12*C39,2)</f>
        <v>0</v>
      </c>
      <c r="H39" s="22">
        <f>IF(B39="*",0,ROUND(G39*D39,2))</f>
        <v>0</v>
      </c>
    </row>
    <row r="40" ht="12.75">
      <c r="H40" s="12">
        <f>SUM(H31:H39)</f>
        <v>17886.760000000002</v>
      </c>
    </row>
    <row r="44" ht="12.75">
      <c r="A44" t="s">
        <v>138</v>
      </c>
    </row>
    <row r="45" spans="2:4" ht="12.75">
      <c r="B45" t="s">
        <v>139</v>
      </c>
      <c r="C45">
        <f>IF($B31=1973,1,IF($B32=1973,2,IF($B33=1973,3,0)))</f>
        <v>0</v>
      </c>
      <c r="D45">
        <f>IF($B31=1973,C31,IF($B32=1973,C32,IF($B33=1973,C33,0)))</f>
        <v>0</v>
      </c>
    </row>
    <row r="47" ht="12.75">
      <c r="A47" t="s">
        <v>140</v>
      </c>
    </row>
    <row r="48" spans="2:4" ht="12.75">
      <c r="B48" t="s">
        <v>139</v>
      </c>
      <c r="C48">
        <f>IF($B31=1988,1,IF($B32=1988,2,IF($B33=1988,3,0)))</f>
        <v>0</v>
      </c>
      <c r="D48">
        <f>IF($B31=1988,C31,IF($B32=1988,C32,IF($B33=1988,C33,0)))</f>
        <v>0</v>
      </c>
    </row>
  </sheetData>
  <sheetProtection/>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102"/>
  <sheetViews>
    <sheetView zoomScalePageLayoutView="0" workbookViewId="0" topLeftCell="A1">
      <pane xSplit="1" ySplit="6" topLeftCell="B67" activePane="bottomRight" state="frozen"/>
      <selection pane="topLeft" activeCell="A1" sqref="A1"/>
      <selection pane="topRight" activeCell="B1" sqref="B1"/>
      <selection pane="bottomLeft" activeCell="A7" sqref="A7"/>
      <selection pane="bottomRight" activeCell="B91" sqref="B91"/>
    </sheetView>
  </sheetViews>
  <sheetFormatPr defaultColWidth="9.140625" defaultRowHeight="12.75"/>
  <cols>
    <col min="1" max="1" width="9.421875" style="0" customWidth="1"/>
    <col min="6" max="6" width="11.00390625" style="0" customWidth="1"/>
    <col min="7" max="7" width="10.8515625" style="0" customWidth="1"/>
    <col min="8" max="9" width="10.28125" style="0" customWidth="1"/>
    <col min="10" max="10" width="10.8515625" style="5" customWidth="1"/>
    <col min="11" max="11" width="6.7109375" style="0" customWidth="1"/>
    <col min="13" max="13" width="10.421875" style="0" customWidth="1"/>
  </cols>
  <sheetData>
    <row r="1" spans="1:6" ht="12.75">
      <c r="A1" s="27" t="str">
        <f>Entry!B4</f>
        <v>John Smith</v>
      </c>
      <c r="E1" s="27" t="s">
        <v>104</v>
      </c>
      <c r="F1" s="27">
        <f>Entry!B10</f>
        <v>0</v>
      </c>
    </row>
    <row r="4" spans="1:13" ht="12.75">
      <c r="A4" s="1"/>
      <c r="B4" t="s">
        <v>141</v>
      </c>
      <c r="F4" t="s">
        <v>142</v>
      </c>
      <c r="J4" s="30" t="s">
        <v>141</v>
      </c>
      <c r="L4" s="6" t="s">
        <v>143</v>
      </c>
      <c r="M4" t="s">
        <v>144</v>
      </c>
    </row>
    <row r="5" spans="1:14" ht="12.75">
      <c r="A5" s="1"/>
      <c r="B5" s="2" t="s">
        <v>145</v>
      </c>
      <c r="C5" s="6" t="s">
        <v>146</v>
      </c>
      <c r="D5" s="6"/>
      <c r="E5" s="6"/>
      <c r="F5" s="6" t="s">
        <v>147</v>
      </c>
      <c r="G5" s="6" t="s">
        <v>148</v>
      </c>
      <c r="H5" s="6" t="s">
        <v>147</v>
      </c>
      <c r="I5" s="6" t="s">
        <v>148</v>
      </c>
      <c r="J5" s="30" t="s">
        <v>149</v>
      </c>
      <c r="K5" s="1"/>
      <c r="L5" s="2" t="s">
        <v>126</v>
      </c>
      <c r="M5" t="s">
        <v>150</v>
      </c>
      <c r="N5" t="s">
        <v>193</v>
      </c>
    </row>
    <row r="6" spans="1:14" ht="12.75">
      <c r="A6" s="3" t="s">
        <v>112</v>
      </c>
      <c r="B6" s="4" t="s">
        <v>107</v>
      </c>
      <c r="C6" s="7" t="s">
        <v>145</v>
      </c>
      <c r="D6" s="7" t="s">
        <v>151</v>
      </c>
      <c r="E6" s="7" t="s">
        <v>149</v>
      </c>
      <c r="F6" s="7" t="s">
        <v>107</v>
      </c>
      <c r="G6" s="7" t="s">
        <v>107</v>
      </c>
      <c r="H6" s="7" t="s">
        <v>149</v>
      </c>
      <c r="I6" s="7" t="s">
        <v>149</v>
      </c>
      <c r="J6" s="31" t="s">
        <v>113</v>
      </c>
      <c r="K6" s="3" t="s">
        <v>112</v>
      </c>
      <c r="L6" s="4" t="s">
        <v>133</v>
      </c>
      <c r="M6" t="s">
        <v>152</v>
      </c>
      <c r="N6" t="s">
        <v>129</v>
      </c>
    </row>
    <row r="7" spans="1:13" ht="12.75">
      <c r="A7" s="1">
        <v>1941</v>
      </c>
      <c r="B7" s="5">
        <v>0.0256</v>
      </c>
      <c r="C7" s="5">
        <v>0.035</v>
      </c>
      <c r="D7" s="5">
        <v>0</v>
      </c>
      <c r="E7" s="5">
        <v>0</v>
      </c>
      <c r="F7" s="14">
        <f>$B7+$C7+$D7</f>
        <v>0.0606</v>
      </c>
      <c r="G7" s="14">
        <f>$B7+$C7+IF(A7&gt;=1973,$D7,0)</f>
        <v>0.0606</v>
      </c>
      <c r="H7" s="14">
        <f aca="true" t="shared" si="0" ref="H7:H24">F7</f>
        <v>0.0606</v>
      </c>
      <c r="I7" s="14">
        <f>$J7+$C7+IF(A7&gt;=1973,$D7,0)+E7</f>
        <v>0.0606</v>
      </c>
      <c r="J7" s="5">
        <v>0.0256</v>
      </c>
      <c r="K7" s="1">
        <v>1941</v>
      </c>
      <c r="L7" s="43">
        <v>0</v>
      </c>
      <c r="M7">
        <v>0</v>
      </c>
    </row>
    <row r="8" spans="1:13" ht="12.75">
      <c r="A8" s="1">
        <v>1942</v>
      </c>
      <c r="B8" s="5">
        <v>0.0256</v>
      </c>
      <c r="C8" s="5">
        <v>0.035</v>
      </c>
      <c r="D8" s="5">
        <v>0</v>
      </c>
      <c r="E8" s="5">
        <v>0</v>
      </c>
      <c r="F8" s="14">
        <f aca="true" t="shared" si="1" ref="F8:F70">B8+C8+D8</f>
        <v>0.0606</v>
      </c>
      <c r="G8" s="14">
        <f aca="true" t="shared" si="2" ref="G8:G71">$B8+$C8+IF(A8&gt;=1973,$D8,0)</f>
        <v>0.0606</v>
      </c>
      <c r="H8" s="14">
        <f t="shared" si="0"/>
        <v>0.0606</v>
      </c>
      <c r="I8" s="14">
        <f aca="true" t="shared" si="3" ref="I8:I39">$J8+$C8+IF(A8&gt;=1973,$D8,0)+E8</f>
        <v>0.0606</v>
      </c>
      <c r="J8" s="5">
        <v>0.0256</v>
      </c>
      <c r="K8" s="1">
        <v>1942</v>
      </c>
      <c r="L8" s="43">
        <v>0</v>
      </c>
      <c r="M8">
        <v>0</v>
      </c>
    </row>
    <row r="9" spans="1:14" ht="12.75">
      <c r="A9" s="1">
        <v>1943</v>
      </c>
      <c r="B9" s="5">
        <v>0.0256</v>
      </c>
      <c r="C9" s="5">
        <v>0.035</v>
      </c>
      <c r="D9" s="5">
        <v>0</v>
      </c>
      <c r="E9" s="5">
        <v>0</v>
      </c>
      <c r="F9" s="14">
        <f t="shared" si="1"/>
        <v>0.0606</v>
      </c>
      <c r="G9" s="14">
        <f t="shared" si="2"/>
        <v>0.0606</v>
      </c>
      <c r="H9" s="14">
        <f t="shared" si="0"/>
        <v>0.0606</v>
      </c>
      <c r="I9" s="14">
        <f t="shared" si="3"/>
        <v>0.0606</v>
      </c>
      <c r="J9" s="5">
        <v>0.0256</v>
      </c>
      <c r="K9" s="1">
        <v>1943</v>
      </c>
      <c r="L9" s="43">
        <v>0</v>
      </c>
      <c r="M9">
        <v>0</v>
      </c>
      <c r="N9">
        <f>IF(B9&gt;0,A9,N8)</f>
        <v>1943</v>
      </c>
    </row>
    <row r="10" spans="1:14" ht="12.75">
      <c r="A10" s="1">
        <v>1944</v>
      </c>
      <c r="B10" s="5">
        <v>0.0256</v>
      </c>
      <c r="C10" s="5">
        <v>0.035</v>
      </c>
      <c r="D10" s="5">
        <v>0</v>
      </c>
      <c r="E10" s="5">
        <v>0</v>
      </c>
      <c r="F10" s="14">
        <f t="shared" si="1"/>
        <v>0.0606</v>
      </c>
      <c r="G10" s="14">
        <f t="shared" si="2"/>
        <v>0.0606</v>
      </c>
      <c r="H10" s="14">
        <f t="shared" si="0"/>
        <v>0.0606</v>
      </c>
      <c r="I10" s="14">
        <f t="shared" si="3"/>
        <v>0.0606</v>
      </c>
      <c r="J10" s="5">
        <v>0.0256</v>
      </c>
      <c r="K10" s="1">
        <v>1944</v>
      </c>
      <c r="L10" s="43">
        <v>0</v>
      </c>
      <c r="M10">
        <v>0</v>
      </c>
      <c r="N10">
        <f aca="true" t="shared" si="4" ref="N10:N73">IF(B10&gt;0,A10,N9)</f>
        <v>1944</v>
      </c>
    </row>
    <row r="11" spans="1:14" ht="12.75">
      <c r="A11" s="1">
        <v>1945</v>
      </c>
      <c r="B11" s="5">
        <v>0.0256</v>
      </c>
      <c r="C11" s="5">
        <v>0.035</v>
      </c>
      <c r="D11" s="5">
        <v>0</v>
      </c>
      <c r="E11" s="5">
        <v>0</v>
      </c>
      <c r="F11" s="14">
        <f t="shared" si="1"/>
        <v>0.0606</v>
      </c>
      <c r="G11" s="14">
        <f t="shared" si="2"/>
        <v>0.0606</v>
      </c>
      <c r="H11" s="14">
        <f t="shared" si="0"/>
        <v>0.0606</v>
      </c>
      <c r="I11" s="14">
        <f t="shared" si="3"/>
        <v>0.0606</v>
      </c>
      <c r="J11" s="5">
        <v>0.0256</v>
      </c>
      <c r="K11" s="1">
        <v>1945</v>
      </c>
      <c r="L11" s="43">
        <v>0</v>
      </c>
      <c r="M11">
        <v>0</v>
      </c>
      <c r="N11">
        <f t="shared" si="4"/>
        <v>1945</v>
      </c>
    </row>
    <row r="12" spans="1:14" ht="12.75">
      <c r="A12" s="1">
        <v>1946</v>
      </c>
      <c r="B12" s="5">
        <v>0.0256</v>
      </c>
      <c r="C12" s="5">
        <v>0.035</v>
      </c>
      <c r="D12" s="5">
        <v>0</v>
      </c>
      <c r="E12" s="5">
        <v>0</v>
      </c>
      <c r="F12" s="14">
        <f t="shared" si="1"/>
        <v>0.0606</v>
      </c>
      <c r="G12" s="14">
        <f t="shared" si="2"/>
        <v>0.0606</v>
      </c>
      <c r="H12" s="14">
        <f t="shared" si="0"/>
        <v>0.0606</v>
      </c>
      <c r="I12" s="14">
        <f t="shared" si="3"/>
        <v>0.0606</v>
      </c>
      <c r="J12" s="5">
        <v>0.0256</v>
      </c>
      <c r="K12" s="1">
        <v>1946</v>
      </c>
      <c r="L12" s="43">
        <v>0</v>
      </c>
      <c r="M12">
        <v>0</v>
      </c>
      <c r="N12">
        <f t="shared" si="4"/>
        <v>1946</v>
      </c>
    </row>
    <row r="13" spans="1:14" ht="12.75">
      <c r="A13" s="1">
        <v>1947</v>
      </c>
      <c r="B13" s="5">
        <v>0.0256</v>
      </c>
      <c r="C13" s="5">
        <v>0.035</v>
      </c>
      <c r="D13" s="5">
        <v>0</v>
      </c>
      <c r="E13" s="5">
        <v>0</v>
      </c>
      <c r="F13" s="14">
        <f t="shared" si="1"/>
        <v>0.0606</v>
      </c>
      <c r="G13" s="14">
        <f t="shared" si="2"/>
        <v>0.0606</v>
      </c>
      <c r="H13" s="14">
        <f t="shared" si="0"/>
        <v>0.0606</v>
      </c>
      <c r="I13" s="14">
        <f t="shared" si="3"/>
        <v>0.0606</v>
      </c>
      <c r="J13" s="5">
        <v>0.0256</v>
      </c>
      <c r="K13" s="1">
        <v>1947</v>
      </c>
      <c r="L13" s="43">
        <v>0</v>
      </c>
      <c r="M13">
        <v>0</v>
      </c>
      <c r="N13">
        <f t="shared" si="4"/>
        <v>1947</v>
      </c>
    </row>
    <row r="14" spans="1:14" ht="12.75">
      <c r="A14" s="1">
        <v>1948</v>
      </c>
      <c r="B14" s="5">
        <v>0.0256</v>
      </c>
      <c r="C14" s="5">
        <v>0.035</v>
      </c>
      <c r="D14" s="5">
        <v>0</v>
      </c>
      <c r="E14" s="5">
        <v>0</v>
      </c>
      <c r="F14" s="14">
        <f t="shared" si="1"/>
        <v>0.0606</v>
      </c>
      <c r="G14" s="14">
        <f t="shared" si="2"/>
        <v>0.0606</v>
      </c>
      <c r="H14" s="14">
        <f t="shared" si="0"/>
        <v>0.0606</v>
      </c>
      <c r="I14" s="14">
        <f t="shared" si="3"/>
        <v>0.0606</v>
      </c>
      <c r="J14" s="5">
        <v>0.0256</v>
      </c>
      <c r="K14" s="1">
        <v>1948</v>
      </c>
      <c r="L14" s="43">
        <v>0</v>
      </c>
      <c r="M14">
        <v>0</v>
      </c>
      <c r="N14">
        <f t="shared" si="4"/>
        <v>1948</v>
      </c>
    </row>
    <row r="15" spans="1:14" ht="12.75">
      <c r="A15" s="1">
        <v>1949</v>
      </c>
      <c r="B15" s="5">
        <v>0.0256</v>
      </c>
      <c r="C15" s="5">
        <v>0.035</v>
      </c>
      <c r="D15" s="5">
        <v>0</v>
      </c>
      <c r="E15" s="5">
        <v>0</v>
      </c>
      <c r="F15" s="14">
        <f t="shared" si="1"/>
        <v>0.0606</v>
      </c>
      <c r="G15" s="14">
        <f t="shared" si="2"/>
        <v>0.0606</v>
      </c>
      <c r="H15" s="14">
        <f t="shared" si="0"/>
        <v>0.0606</v>
      </c>
      <c r="I15" s="14">
        <f t="shared" si="3"/>
        <v>0.0606</v>
      </c>
      <c r="J15" s="5">
        <v>0.0256</v>
      </c>
      <c r="K15" s="1">
        <v>1949</v>
      </c>
      <c r="L15" s="43">
        <v>0</v>
      </c>
      <c r="M15">
        <v>0</v>
      </c>
      <c r="N15">
        <f t="shared" si="4"/>
        <v>1949</v>
      </c>
    </row>
    <row r="16" spans="1:14" ht="12.75">
      <c r="A16" s="1">
        <v>1950</v>
      </c>
      <c r="B16" s="5">
        <v>0.0256</v>
      </c>
      <c r="C16" s="5">
        <v>0.05</v>
      </c>
      <c r="D16" s="5">
        <v>0</v>
      </c>
      <c r="E16" s="5">
        <v>0</v>
      </c>
      <c r="F16" s="14">
        <f t="shared" si="1"/>
        <v>0.0756</v>
      </c>
      <c r="G16" s="14">
        <f t="shared" si="2"/>
        <v>0.0756</v>
      </c>
      <c r="H16" s="14">
        <f t="shared" si="0"/>
        <v>0.0756</v>
      </c>
      <c r="I16" s="14">
        <f t="shared" si="3"/>
        <v>0.0756</v>
      </c>
      <c r="J16" s="5">
        <v>0.0256</v>
      </c>
      <c r="K16" s="1">
        <v>1950</v>
      </c>
      <c r="L16" s="43">
        <v>0</v>
      </c>
      <c r="M16">
        <v>0</v>
      </c>
      <c r="N16">
        <f t="shared" si="4"/>
        <v>1950</v>
      </c>
    </row>
    <row r="17" spans="1:14" ht="12.75">
      <c r="A17" s="1">
        <v>1951</v>
      </c>
      <c r="B17" s="5">
        <v>0.0256</v>
      </c>
      <c r="C17" s="5">
        <v>0.05</v>
      </c>
      <c r="D17" s="5">
        <v>0</v>
      </c>
      <c r="E17" s="5">
        <v>0</v>
      </c>
      <c r="F17" s="14">
        <f t="shared" si="1"/>
        <v>0.0756</v>
      </c>
      <c r="G17" s="14">
        <f t="shared" si="2"/>
        <v>0.0756</v>
      </c>
      <c r="H17" s="14">
        <f t="shared" si="0"/>
        <v>0.0756</v>
      </c>
      <c r="I17" s="14">
        <f t="shared" si="3"/>
        <v>0.0756</v>
      </c>
      <c r="J17" s="5">
        <v>0.0256</v>
      </c>
      <c r="K17" s="1">
        <v>1951</v>
      </c>
      <c r="L17" s="43">
        <v>0</v>
      </c>
      <c r="M17">
        <v>0</v>
      </c>
      <c r="N17">
        <f t="shared" si="4"/>
        <v>1951</v>
      </c>
    </row>
    <row r="18" spans="1:14" ht="12.75">
      <c r="A18" s="1">
        <v>1952</v>
      </c>
      <c r="B18" s="5">
        <v>0.0256</v>
      </c>
      <c r="C18" s="5">
        <v>0.05</v>
      </c>
      <c r="D18" s="5">
        <v>0.015</v>
      </c>
      <c r="E18" s="5">
        <v>0</v>
      </c>
      <c r="F18" s="14">
        <f t="shared" si="1"/>
        <v>0.0906</v>
      </c>
      <c r="G18" s="14">
        <f t="shared" si="2"/>
        <v>0.0756</v>
      </c>
      <c r="H18" s="14">
        <f t="shared" si="0"/>
        <v>0.0906</v>
      </c>
      <c r="I18" s="14">
        <f t="shared" si="3"/>
        <v>0.0756</v>
      </c>
      <c r="J18" s="5">
        <v>0.0256</v>
      </c>
      <c r="K18" s="1">
        <v>1952</v>
      </c>
      <c r="L18" s="43">
        <v>0</v>
      </c>
      <c r="M18">
        <v>0</v>
      </c>
      <c r="N18">
        <f t="shared" si="4"/>
        <v>1952</v>
      </c>
    </row>
    <row r="19" spans="1:14" ht="12.75">
      <c r="A19" s="1">
        <v>1953</v>
      </c>
      <c r="B19" s="5">
        <v>0.0256</v>
      </c>
      <c r="C19" s="5">
        <v>0.05</v>
      </c>
      <c r="D19" s="5">
        <v>0.015</v>
      </c>
      <c r="E19" s="5">
        <v>0</v>
      </c>
      <c r="F19" s="14">
        <f t="shared" si="1"/>
        <v>0.0906</v>
      </c>
      <c r="G19" s="14">
        <f t="shared" si="2"/>
        <v>0.0756</v>
      </c>
      <c r="H19" s="14">
        <f t="shared" si="0"/>
        <v>0.0906</v>
      </c>
      <c r="I19" s="14">
        <f t="shared" si="3"/>
        <v>0.0756</v>
      </c>
      <c r="J19" s="5">
        <v>0.0256</v>
      </c>
      <c r="K19" s="1">
        <v>1953</v>
      </c>
      <c r="L19" s="43">
        <v>0</v>
      </c>
      <c r="M19">
        <v>0</v>
      </c>
      <c r="N19">
        <f t="shared" si="4"/>
        <v>1953</v>
      </c>
    </row>
    <row r="20" spans="1:14" ht="12.75">
      <c r="A20" s="1">
        <v>1954</v>
      </c>
      <c r="B20" s="5">
        <v>0.0256</v>
      </c>
      <c r="C20" s="5">
        <v>0.05</v>
      </c>
      <c r="D20" s="5">
        <v>0.015</v>
      </c>
      <c r="E20" s="5">
        <v>0</v>
      </c>
      <c r="F20" s="14">
        <f t="shared" si="1"/>
        <v>0.0906</v>
      </c>
      <c r="G20" s="14">
        <f t="shared" si="2"/>
        <v>0.0756</v>
      </c>
      <c r="H20" s="14">
        <f t="shared" si="0"/>
        <v>0.0906</v>
      </c>
      <c r="I20" s="14">
        <f t="shared" si="3"/>
        <v>0.0756</v>
      </c>
      <c r="J20" s="5">
        <v>0.0256</v>
      </c>
      <c r="K20" s="1">
        <v>1954</v>
      </c>
      <c r="L20" s="43">
        <v>0</v>
      </c>
      <c r="M20">
        <v>0</v>
      </c>
      <c r="N20">
        <f t="shared" si="4"/>
        <v>1954</v>
      </c>
    </row>
    <row r="21" spans="1:14" ht="12.75">
      <c r="A21" s="1">
        <v>1955</v>
      </c>
      <c r="B21" s="5">
        <v>0.0256</v>
      </c>
      <c r="C21" s="5">
        <v>0.05</v>
      </c>
      <c r="D21" s="5">
        <v>0.015</v>
      </c>
      <c r="E21" s="5">
        <v>0</v>
      </c>
      <c r="F21" s="14">
        <f t="shared" si="1"/>
        <v>0.0906</v>
      </c>
      <c r="G21" s="14">
        <f t="shared" si="2"/>
        <v>0.0756</v>
      </c>
      <c r="H21" s="14">
        <f t="shared" si="0"/>
        <v>0.0906</v>
      </c>
      <c r="I21" s="14">
        <f t="shared" si="3"/>
        <v>0.0756</v>
      </c>
      <c r="J21" s="5">
        <v>0.0256</v>
      </c>
      <c r="K21" s="1">
        <v>1955</v>
      </c>
      <c r="L21" s="43">
        <v>0</v>
      </c>
      <c r="M21">
        <v>0</v>
      </c>
      <c r="N21">
        <f t="shared" si="4"/>
        <v>1955</v>
      </c>
    </row>
    <row r="22" spans="1:14" ht="12.75">
      <c r="A22" s="1">
        <v>1956</v>
      </c>
      <c r="B22" s="5">
        <v>0.0256</v>
      </c>
      <c r="C22" s="5">
        <v>0.04</v>
      </c>
      <c r="D22" s="5">
        <v>0.01</v>
      </c>
      <c r="E22" s="5">
        <v>0</v>
      </c>
      <c r="F22" s="14">
        <f t="shared" si="1"/>
        <v>0.0756</v>
      </c>
      <c r="G22" s="14">
        <f t="shared" si="2"/>
        <v>0.0656</v>
      </c>
      <c r="H22" s="14">
        <f t="shared" si="0"/>
        <v>0.0756</v>
      </c>
      <c r="I22" s="14">
        <f t="shared" si="3"/>
        <v>0.0656</v>
      </c>
      <c r="J22" s="5">
        <v>0.0256</v>
      </c>
      <c r="K22" s="1">
        <v>1956</v>
      </c>
      <c r="L22" s="33">
        <v>4200</v>
      </c>
      <c r="M22" s="34">
        <v>0.0225</v>
      </c>
      <c r="N22">
        <f t="shared" si="4"/>
        <v>1956</v>
      </c>
    </row>
    <row r="23" spans="1:14" ht="12.75">
      <c r="A23" s="1">
        <v>1957</v>
      </c>
      <c r="B23" s="5">
        <v>0.0256</v>
      </c>
      <c r="C23" s="5">
        <v>0.0375</v>
      </c>
      <c r="D23" s="5">
        <v>0.01</v>
      </c>
      <c r="E23" s="5">
        <v>0</v>
      </c>
      <c r="F23" s="14">
        <f t="shared" si="1"/>
        <v>0.0731</v>
      </c>
      <c r="G23" s="14">
        <f t="shared" si="2"/>
        <v>0.0631</v>
      </c>
      <c r="H23" s="14">
        <f t="shared" si="0"/>
        <v>0.0731</v>
      </c>
      <c r="I23" s="14">
        <f t="shared" si="3"/>
        <v>0.0631</v>
      </c>
      <c r="J23" s="5">
        <v>0.0256</v>
      </c>
      <c r="K23" s="1">
        <v>1957</v>
      </c>
      <c r="L23" s="33">
        <v>4200</v>
      </c>
      <c r="M23" s="34">
        <v>0.0225</v>
      </c>
      <c r="N23">
        <f t="shared" si="4"/>
        <v>1957</v>
      </c>
    </row>
    <row r="24" spans="1:14" ht="12.75">
      <c r="A24" s="1">
        <v>1958</v>
      </c>
      <c r="B24" s="5">
        <v>0.0279</v>
      </c>
      <c r="C24" s="5">
        <v>0.0375</v>
      </c>
      <c r="D24" s="5">
        <v>0.01</v>
      </c>
      <c r="E24" s="5">
        <v>0</v>
      </c>
      <c r="F24" s="14">
        <f t="shared" si="1"/>
        <v>0.0754</v>
      </c>
      <c r="G24" s="14">
        <f t="shared" si="2"/>
        <v>0.0654</v>
      </c>
      <c r="H24" s="14">
        <f t="shared" si="0"/>
        <v>0.0754</v>
      </c>
      <c r="I24" s="14">
        <f t="shared" si="3"/>
        <v>0.0654</v>
      </c>
      <c r="J24" s="5">
        <v>0.0279</v>
      </c>
      <c r="K24" s="1">
        <v>1958</v>
      </c>
      <c r="L24" s="33">
        <v>4200</v>
      </c>
      <c r="M24" s="34">
        <v>0.0225</v>
      </c>
      <c r="N24">
        <f t="shared" si="4"/>
        <v>1958</v>
      </c>
    </row>
    <row r="25" spans="1:14" ht="12.75">
      <c r="A25" s="1">
        <v>1959</v>
      </c>
      <c r="B25" s="5">
        <v>0.0267</v>
      </c>
      <c r="C25" s="5">
        <v>0.0375</v>
      </c>
      <c r="D25" s="5">
        <v>0.01</v>
      </c>
      <c r="E25" s="5">
        <v>0</v>
      </c>
      <c r="F25" s="14">
        <f t="shared" si="1"/>
        <v>0.0742</v>
      </c>
      <c r="G25" s="14">
        <f t="shared" si="2"/>
        <v>0.06420000000000001</v>
      </c>
      <c r="H25" s="14">
        <f>IF(Entry!D$16="R",$B25+$C25+$D25,$J25+$C25+$D25+$E25)</f>
        <v>0.0742</v>
      </c>
      <c r="I25" s="14">
        <f t="shared" si="3"/>
        <v>0.06420000000000001</v>
      </c>
      <c r="J25" s="5">
        <v>0.0267</v>
      </c>
      <c r="K25" s="1">
        <v>1959</v>
      </c>
      <c r="L25" s="33">
        <v>4800</v>
      </c>
      <c r="M25" s="34">
        <v>0.025</v>
      </c>
      <c r="N25">
        <f t="shared" si="4"/>
        <v>1959</v>
      </c>
    </row>
    <row r="26" spans="1:14" ht="12.75">
      <c r="A26" s="1">
        <v>1960</v>
      </c>
      <c r="B26" s="5">
        <v>0.028</v>
      </c>
      <c r="C26" s="5">
        <v>0.0325</v>
      </c>
      <c r="D26" s="5">
        <v>0.01</v>
      </c>
      <c r="E26" s="5">
        <v>0</v>
      </c>
      <c r="F26" s="14">
        <f t="shared" si="1"/>
        <v>0.0705</v>
      </c>
      <c r="G26" s="14">
        <f t="shared" si="2"/>
        <v>0.0605</v>
      </c>
      <c r="H26" s="14">
        <f>IF(Entry!D$16="R",$B26+$C26+$D26,$J26+$C26+$D26+$E26)</f>
        <v>0.0705</v>
      </c>
      <c r="I26" s="14">
        <f t="shared" si="3"/>
        <v>0.0605</v>
      </c>
      <c r="J26" s="5">
        <v>0.028</v>
      </c>
      <c r="K26" s="1">
        <v>1960</v>
      </c>
      <c r="L26" s="33">
        <v>4800</v>
      </c>
      <c r="M26" s="34">
        <v>0.03</v>
      </c>
      <c r="N26">
        <f t="shared" si="4"/>
        <v>1960</v>
      </c>
    </row>
    <row r="27" spans="1:14" ht="12.75">
      <c r="A27" s="1">
        <v>1961</v>
      </c>
      <c r="B27" s="5">
        <v>0.028</v>
      </c>
      <c r="C27" s="5">
        <v>0.0325</v>
      </c>
      <c r="D27" s="5">
        <v>0.01</v>
      </c>
      <c r="E27" s="5">
        <v>0</v>
      </c>
      <c r="F27" s="14">
        <f t="shared" si="1"/>
        <v>0.0705</v>
      </c>
      <c r="G27" s="14">
        <f t="shared" si="2"/>
        <v>0.0605</v>
      </c>
      <c r="H27" s="14">
        <f>IF(Entry!D$16="R",$B27+$C27+$D27,$J27+$C27+$D27+$E27)</f>
        <v>0.0705</v>
      </c>
      <c r="I27" s="14">
        <f t="shared" si="3"/>
        <v>0.0605</v>
      </c>
      <c r="J27" s="5">
        <v>0.028</v>
      </c>
      <c r="K27" s="1">
        <v>1961</v>
      </c>
      <c r="L27" s="33">
        <v>4800</v>
      </c>
      <c r="M27" s="34">
        <v>0.03</v>
      </c>
      <c r="N27">
        <f t="shared" si="4"/>
        <v>1961</v>
      </c>
    </row>
    <row r="28" spans="1:14" ht="12.75">
      <c r="A28" s="1">
        <v>1962</v>
      </c>
      <c r="B28" s="5">
        <v>0.02795</v>
      </c>
      <c r="C28" s="5">
        <v>0.0325</v>
      </c>
      <c r="D28" s="5">
        <v>0.01</v>
      </c>
      <c r="E28" s="5">
        <v>0</v>
      </c>
      <c r="F28" s="14">
        <f t="shared" si="1"/>
        <v>0.07045</v>
      </c>
      <c r="G28" s="14">
        <f t="shared" si="2"/>
        <v>0.060450000000000004</v>
      </c>
      <c r="H28" s="14">
        <f>IF(Entry!D$16="R",$B28+$C28+$D28,$J28+$C28+$D28+$E28)</f>
        <v>0.07045</v>
      </c>
      <c r="I28" s="14">
        <f t="shared" si="3"/>
        <v>0.060450000000000004</v>
      </c>
      <c r="J28" s="5">
        <v>0.02795</v>
      </c>
      <c r="K28" s="1">
        <v>1962</v>
      </c>
      <c r="L28" s="33">
        <v>4800</v>
      </c>
      <c r="M28" s="34">
        <v>0.0325</v>
      </c>
      <c r="N28">
        <f t="shared" si="4"/>
        <v>1962</v>
      </c>
    </row>
    <row r="29" spans="1:14" ht="12.75">
      <c r="A29" s="1">
        <v>1963</v>
      </c>
      <c r="B29" s="5">
        <v>0.02955</v>
      </c>
      <c r="C29" s="5">
        <v>0.0325</v>
      </c>
      <c r="D29" s="5">
        <v>0.01</v>
      </c>
      <c r="E29" s="5">
        <v>0</v>
      </c>
      <c r="F29" s="14">
        <f t="shared" si="1"/>
        <v>0.07205</v>
      </c>
      <c r="G29" s="14">
        <f t="shared" si="2"/>
        <v>0.06205</v>
      </c>
      <c r="H29" s="14">
        <f>IF(Entry!D$16="R",$B29+$C29+$D29,$J29+$C29+$D29+$E29)</f>
        <v>0.07205</v>
      </c>
      <c r="I29" s="14">
        <f t="shared" si="3"/>
        <v>0.06205</v>
      </c>
      <c r="J29" s="5">
        <v>0.02955</v>
      </c>
      <c r="K29" s="1">
        <v>1963</v>
      </c>
      <c r="L29" s="33">
        <v>4800</v>
      </c>
      <c r="M29" s="34">
        <v>0.0325</v>
      </c>
      <c r="N29">
        <f t="shared" si="4"/>
        <v>1963</v>
      </c>
    </row>
    <row r="30" spans="1:14" ht="12.75">
      <c r="A30" s="1">
        <v>1964</v>
      </c>
      <c r="B30" s="5">
        <v>0.02845</v>
      </c>
      <c r="C30" s="5">
        <v>0.0325</v>
      </c>
      <c r="D30" s="5">
        <v>0.01</v>
      </c>
      <c r="E30" s="5">
        <v>0</v>
      </c>
      <c r="F30" s="14">
        <f t="shared" si="1"/>
        <v>0.07095</v>
      </c>
      <c r="G30" s="14">
        <f t="shared" si="2"/>
        <v>0.060950000000000004</v>
      </c>
      <c r="H30" s="14">
        <f>IF(Entry!D$16="R",$B30+$C30+$D30,$J30+$C30+$D30+$E30)</f>
        <v>0.07095</v>
      </c>
      <c r="I30" s="14">
        <f t="shared" si="3"/>
        <v>0.060950000000000004</v>
      </c>
      <c r="J30" s="5">
        <v>0.02845</v>
      </c>
      <c r="K30" s="1">
        <v>1964</v>
      </c>
      <c r="L30" s="33">
        <v>4800</v>
      </c>
      <c r="M30" s="34">
        <v>0.0325</v>
      </c>
      <c r="N30">
        <f t="shared" si="4"/>
        <v>1964</v>
      </c>
    </row>
    <row r="31" spans="1:14" ht="12.75">
      <c r="A31" s="1">
        <v>1965</v>
      </c>
      <c r="B31" s="5">
        <v>0.02705</v>
      </c>
      <c r="C31" s="5">
        <v>0.0325</v>
      </c>
      <c r="D31" s="5">
        <v>0.01</v>
      </c>
      <c r="E31" s="5">
        <v>0</v>
      </c>
      <c r="F31" s="14">
        <f t="shared" si="1"/>
        <v>0.06955</v>
      </c>
      <c r="G31" s="14">
        <f t="shared" si="2"/>
        <v>0.059550000000000006</v>
      </c>
      <c r="H31" s="14">
        <f>IF(Entry!D$16="R",$B31+$C31+$D31,$J31+$C31+$D31+$E31)</f>
        <v>0.06955</v>
      </c>
      <c r="I31" s="14">
        <f t="shared" si="3"/>
        <v>0.059550000000000006</v>
      </c>
      <c r="J31" s="5">
        <v>0.02705</v>
      </c>
      <c r="K31" s="1">
        <v>1965</v>
      </c>
      <c r="L31" s="33">
        <v>4800</v>
      </c>
      <c r="M31" s="34">
        <v>0.0325</v>
      </c>
      <c r="N31">
        <f t="shared" si="4"/>
        <v>1965</v>
      </c>
    </row>
    <row r="32" spans="1:14" ht="12.75">
      <c r="A32" s="1">
        <v>1966</v>
      </c>
      <c r="B32" s="5">
        <v>0.0212</v>
      </c>
      <c r="C32" s="5">
        <v>0.0325</v>
      </c>
      <c r="D32" s="5">
        <v>0.01</v>
      </c>
      <c r="E32" s="5">
        <v>0</v>
      </c>
      <c r="F32" s="14">
        <f t="shared" si="1"/>
        <v>0.06369999999999999</v>
      </c>
      <c r="G32" s="14">
        <f t="shared" si="2"/>
        <v>0.0537</v>
      </c>
      <c r="H32" s="14">
        <f>IF(Entry!D$16="R",$B32+$C32+$D32,$J32+$C32+$D32+$E32)</f>
        <v>0.06369999999999999</v>
      </c>
      <c r="I32" s="14">
        <f t="shared" si="3"/>
        <v>0.0537</v>
      </c>
      <c r="J32" s="5">
        <v>0.0212</v>
      </c>
      <c r="K32" s="1">
        <v>1966</v>
      </c>
      <c r="L32" s="33">
        <v>6600</v>
      </c>
      <c r="M32" s="34">
        <v>0.0325</v>
      </c>
      <c r="N32">
        <f t="shared" si="4"/>
        <v>1966</v>
      </c>
    </row>
    <row r="33" spans="1:14" ht="12.75">
      <c r="A33" s="1">
        <v>1967</v>
      </c>
      <c r="B33" s="5">
        <v>0.0247</v>
      </c>
      <c r="C33" s="5">
        <v>0.0325</v>
      </c>
      <c r="D33" s="5">
        <v>0.01</v>
      </c>
      <c r="E33" s="5">
        <v>0</v>
      </c>
      <c r="F33" s="14">
        <f t="shared" si="1"/>
        <v>0.0672</v>
      </c>
      <c r="G33" s="14">
        <f t="shared" si="2"/>
        <v>0.0572</v>
      </c>
      <c r="H33" s="14">
        <f>IF(Entry!D$16="R",$B33+$C33+$D33,$J33+$C33+$D33+$E33)</f>
        <v>0.0672</v>
      </c>
      <c r="I33" s="14">
        <f t="shared" si="3"/>
        <v>0.0572</v>
      </c>
      <c r="J33" s="5">
        <v>0.0247</v>
      </c>
      <c r="K33" s="1">
        <v>1967</v>
      </c>
      <c r="L33" s="33">
        <v>6600</v>
      </c>
      <c r="M33" s="34">
        <v>0.0325</v>
      </c>
      <c r="N33">
        <f t="shared" si="4"/>
        <v>1967</v>
      </c>
    </row>
    <row r="34" spans="1:14" ht="12.75">
      <c r="A34" s="1">
        <v>1968</v>
      </c>
      <c r="B34" s="5">
        <v>0.0244</v>
      </c>
      <c r="C34" s="5">
        <v>0.0325</v>
      </c>
      <c r="D34" s="5">
        <v>0.01</v>
      </c>
      <c r="E34" s="5">
        <v>0</v>
      </c>
      <c r="F34" s="14">
        <f t="shared" si="1"/>
        <v>0.0669</v>
      </c>
      <c r="G34" s="14">
        <f t="shared" si="2"/>
        <v>0.056900000000000006</v>
      </c>
      <c r="H34" s="14">
        <f>IF(Entry!D$16="R",$B34+$C34+$D34,$J34+$C34+$D34+$E34)</f>
        <v>0.0669</v>
      </c>
      <c r="I34" s="14">
        <f t="shared" si="3"/>
        <v>0.056900000000000006</v>
      </c>
      <c r="J34" s="5">
        <v>0.0244</v>
      </c>
      <c r="K34" s="1">
        <v>1968</v>
      </c>
      <c r="L34" s="9">
        <v>0</v>
      </c>
      <c r="N34">
        <f t="shared" si="4"/>
        <v>1968</v>
      </c>
    </row>
    <row r="35" spans="1:14" ht="12.75">
      <c r="A35" s="1">
        <v>1969</v>
      </c>
      <c r="B35" s="5">
        <v>0.0376</v>
      </c>
      <c r="C35" s="5">
        <v>0.0325</v>
      </c>
      <c r="D35" s="5">
        <v>0.01</v>
      </c>
      <c r="E35" s="5">
        <v>0</v>
      </c>
      <c r="F35" s="14">
        <f t="shared" si="1"/>
        <v>0.08009999999999999</v>
      </c>
      <c r="G35" s="14">
        <f t="shared" si="2"/>
        <v>0.0701</v>
      </c>
      <c r="H35" s="14">
        <f>IF(Entry!D$16="R",$B35+$C35+$D35,$J35+$C35+$D35+$E35)</f>
        <v>0.08009999999999999</v>
      </c>
      <c r="I35" s="14">
        <f t="shared" si="3"/>
        <v>0.0701</v>
      </c>
      <c r="J35" s="5">
        <v>0.0376</v>
      </c>
      <c r="K35" s="1">
        <v>1969</v>
      </c>
      <c r="L35" s="9">
        <v>0</v>
      </c>
      <c r="N35">
        <f t="shared" si="4"/>
        <v>1969</v>
      </c>
    </row>
    <row r="36" spans="1:14" ht="12.75">
      <c r="A36" s="1">
        <v>1970</v>
      </c>
      <c r="B36" s="5">
        <v>0.0387</v>
      </c>
      <c r="C36" s="5">
        <v>0.0325</v>
      </c>
      <c r="D36" s="5">
        <v>0.01</v>
      </c>
      <c r="E36" s="5">
        <v>0</v>
      </c>
      <c r="F36" s="14">
        <f t="shared" si="1"/>
        <v>0.0812</v>
      </c>
      <c r="G36" s="14">
        <f t="shared" si="2"/>
        <v>0.0712</v>
      </c>
      <c r="H36" s="14">
        <f>IF(Entry!D$16="R",$B36+$C36+$D36,$J36+$C36+$D36+$E36)</f>
        <v>0.0812</v>
      </c>
      <c r="I36" s="14">
        <f t="shared" si="3"/>
        <v>0.0712</v>
      </c>
      <c r="J36" s="5">
        <v>0.0387</v>
      </c>
      <c r="K36" s="1">
        <v>1970</v>
      </c>
      <c r="L36" s="9">
        <v>0</v>
      </c>
      <c r="N36">
        <f t="shared" si="4"/>
        <v>1970</v>
      </c>
    </row>
    <row r="37" spans="1:14" ht="12.75">
      <c r="A37" s="1">
        <v>1971</v>
      </c>
      <c r="B37" s="5">
        <v>0.0289</v>
      </c>
      <c r="C37" s="5">
        <v>0.0325</v>
      </c>
      <c r="D37" s="5">
        <v>0.01</v>
      </c>
      <c r="E37" s="5">
        <v>0</v>
      </c>
      <c r="F37" s="14">
        <f t="shared" si="1"/>
        <v>0.07139999999999999</v>
      </c>
      <c r="G37" s="14">
        <f t="shared" si="2"/>
        <v>0.061399999999999996</v>
      </c>
      <c r="H37" s="14">
        <f>IF(Entry!D$16="R",$B37+$C37+$D37,$J37+$C37+$D37+$E37)</f>
        <v>0.07139999999999999</v>
      </c>
      <c r="I37" s="14">
        <f t="shared" si="3"/>
        <v>0.061399999999999996</v>
      </c>
      <c r="J37" s="5">
        <v>0.0289</v>
      </c>
      <c r="K37" s="1">
        <v>1971</v>
      </c>
      <c r="L37" s="9">
        <v>0</v>
      </c>
      <c r="N37">
        <f t="shared" si="4"/>
        <v>1971</v>
      </c>
    </row>
    <row r="38" spans="1:14" ht="12.75">
      <c r="A38" s="1">
        <v>1972</v>
      </c>
      <c r="B38" s="5">
        <v>0.0282</v>
      </c>
      <c r="C38" s="5">
        <v>0.0325</v>
      </c>
      <c r="D38" s="5">
        <v>0.01</v>
      </c>
      <c r="E38" s="5">
        <v>0</v>
      </c>
      <c r="F38" s="14">
        <f t="shared" si="1"/>
        <v>0.0707</v>
      </c>
      <c r="G38" s="14">
        <f t="shared" si="2"/>
        <v>0.060700000000000004</v>
      </c>
      <c r="H38" s="14">
        <f>IF(Entry!D$16="R",$B38+$C38+$D38,$J38+$C38+$D38+$E38)</f>
        <v>0.0707</v>
      </c>
      <c r="I38" s="14">
        <f t="shared" si="3"/>
        <v>0.060700000000000004</v>
      </c>
      <c r="J38" s="5">
        <v>0.0282</v>
      </c>
      <c r="K38" s="1">
        <v>1972</v>
      </c>
      <c r="L38" s="9">
        <v>0</v>
      </c>
      <c r="N38">
        <f t="shared" si="4"/>
        <v>1972</v>
      </c>
    </row>
    <row r="39" spans="1:14" ht="12.75">
      <c r="A39" s="1">
        <v>1973</v>
      </c>
      <c r="B39" s="5">
        <v>0.0213</v>
      </c>
      <c r="C39" s="5">
        <v>0.0375</v>
      </c>
      <c r="D39" s="5">
        <v>0.0075</v>
      </c>
      <c r="E39" s="5">
        <v>0.01</v>
      </c>
      <c r="F39" s="14">
        <f t="shared" si="1"/>
        <v>0.0663</v>
      </c>
      <c r="G39" s="14">
        <f t="shared" si="2"/>
        <v>0.0663</v>
      </c>
      <c r="H39" s="14">
        <f>IF(Entry!D$16="R",$B39+$C39+$D39,$J39+$C39+$D39+$E39)</f>
        <v>0.133</v>
      </c>
      <c r="I39" s="14">
        <f t="shared" si="3"/>
        <v>0.133</v>
      </c>
      <c r="J39" s="5">
        <v>0.078</v>
      </c>
      <c r="K39" s="1">
        <v>1973</v>
      </c>
      <c r="L39" s="9">
        <v>0</v>
      </c>
      <c r="N39">
        <f t="shared" si="4"/>
        <v>1973</v>
      </c>
    </row>
    <row r="40" spans="1:14" ht="12.75">
      <c r="A40" s="1">
        <v>1974</v>
      </c>
      <c r="B40" s="5">
        <v>0.0375</v>
      </c>
      <c r="C40" s="5">
        <v>0.0375</v>
      </c>
      <c r="D40" s="5">
        <v>0.0075</v>
      </c>
      <c r="E40" s="5">
        <v>0.01</v>
      </c>
      <c r="F40" s="14">
        <f t="shared" si="1"/>
        <v>0.08249999999999999</v>
      </c>
      <c r="G40" s="14">
        <f t="shared" si="2"/>
        <v>0.08249999999999999</v>
      </c>
      <c r="H40" s="14">
        <f>IF(Entry!D$16="R",$B40+$C40+$D40,$J40+$C40+$D40+$E40)</f>
        <v>0.14470000000000002</v>
      </c>
      <c r="I40" s="14">
        <f aca="true" t="shared" si="5" ref="I40:I71">$J40+$C40+$D40+E40</f>
        <v>0.14470000000000002</v>
      </c>
      <c r="J40" s="5">
        <v>0.0897</v>
      </c>
      <c r="K40" s="1">
        <v>1974</v>
      </c>
      <c r="L40" s="9">
        <v>0</v>
      </c>
      <c r="N40">
        <f t="shared" si="4"/>
        <v>1974</v>
      </c>
    </row>
    <row r="41" spans="1:14" ht="12.75">
      <c r="A41" s="1">
        <v>1975</v>
      </c>
      <c r="B41" s="5">
        <v>0.0372</v>
      </c>
      <c r="C41" s="5">
        <v>0.0375</v>
      </c>
      <c r="D41" s="5">
        <v>0.0075</v>
      </c>
      <c r="E41" s="5">
        <v>0.01</v>
      </c>
      <c r="F41" s="14">
        <f t="shared" si="1"/>
        <v>0.0822</v>
      </c>
      <c r="G41" s="14">
        <f t="shared" si="2"/>
        <v>0.0822</v>
      </c>
      <c r="H41" s="14">
        <f>IF(Entry!D$16="R",$B41+$C41+$D41,$J41+$C41+$D41+$E41)</f>
        <v>0.1191</v>
      </c>
      <c r="I41" s="14">
        <f t="shared" si="5"/>
        <v>0.1191</v>
      </c>
      <c r="J41" s="5">
        <v>0.0641</v>
      </c>
      <c r="K41" s="1">
        <v>1975</v>
      </c>
      <c r="L41" s="9">
        <v>0</v>
      </c>
      <c r="N41">
        <f t="shared" si="4"/>
        <v>1975</v>
      </c>
    </row>
    <row r="42" spans="1:14" ht="12.75">
      <c r="A42" s="1">
        <v>1976</v>
      </c>
      <c r="B42" s="5">
        <v>0.0369</v>
      </c>
      <c r="C42" s="5">
        <v>0.0375</v>
      </c>
      <c r="D42" s="5">
        <v>0.0075</v>
      </c>
      <c r="E42" s="5">
        <v>0.01</v>
      </c>
      <c r="F42" s="14">
        <f t="shared" si="1"/>
        <v>0.0819</v>
      </c>
      <c r="G42" s="14">
        <f t="shared" si="2"/>
        <v>0.0819</v>
      </c>
      <c r="H42" s="14">
        <f>IF(Entry!D$16="R",$B42+$C42+$D42,$J42+$C42+$D42+$E42)</f>
        <v>0.115</v>
      </c>
      <c r="I42" s="14">
        <f t="shared" si="5"/>
        <v>0.115</v>
      </c>
      <c r="J42" s="5">
        <v>0.06</v>
      </c>
      <c r="K42" s="1">
        <v>1976</v>
      </c>
      <c r="L42" s="9">
        <v>0</v>
      </c>
      <c r="N42">
        <f t="shared" si="4"/>
        <v>1976</v>
      </c>
    </row>
    <row r="43" spans="1:14" ht="12.75">
      <c r="A43" s="1">
        <v>1977</v>
      </c>
      <c r="B43" s="5">
        <v>0.0365</v>
      </c>
      <c r="C43" s="5">
        <v>0.0375</v>
      </c>
      <c r="D43" s="5">
        <v>0.0075</v>
      </c>
      <c r="E43" s="5">
        <v>0.01</v>
      </c>
      <c r="F43" s="14">
        <f t="shared" si="1"/>
        <v>0.08149999999999999</v>
      </c>
      <c r="G43" s="14">
        <f t="shared" si="2"/>
        <v>0.08149999999999999</v>
      </c>
      <c r="H43" s="14">
        <f>IF(Entry!D$16="R",$B43+$C43+$D43,$J43+$C43+$D43+$E43)</f>
        <v>0.1113</v>
      </c>
      <c r="I43" s="14">
        <f t="shared" si="5"/>
        <v>0.1113</v>
      </c>
      <c r="J43" s="5">
        <v>0.0563</v>
      </c>
      <c r="K43" s="1">
        <v>1977</v>
      </c>
      <c r="L43" s="9">
        <v>0</v>
      </c>
      <c r="N43">
        <f t="shared" si="4"/>
        <v>1977</v>
      </c>
    </row>
    <row r="44" spans="1:14" ht="12.75">
      <c r="A44" s="1">
        <v>1978</v>
      </c>
      <c r="B44" s="5">
        <v>0.0346</v>
      </c>
      <c r="C44" s="5">
        <v>0.0375</v>
      </c>
      <c r="D44" s="5">
        <v>0.0075</v>
      </c>
      <c r="E44" s="5">
        <v>0.01</v>
      </c>
      <c r="F44" s="14">
        <f t="shared" si="1"/>
        <v>0.0796</v>
      </c>
      <c r="G44" s="14">
        <f t="shared" si="2"/>
        <v>0.0796</v>
      </c>
      <c r="H44" s="14">
        <f>IF(Entry!D$16="R",$B44+$C44+$D44,$J44+$C44+$D44+$E44)</f>
        <v>0.107</v>
      </c>
      <c r="I44" s="14">
        <f t="shared" si="5"/>
        <v>0.107</v>
      </c>
      <c r="J44" s="5">
        <v>0.052</v>
      </c>
      <c r="K44" s="1">
        <v>1978</v>
      </c>
      <c r="L44" s="9">
        <v>0</v>
      </c>
      <c r="N44">
        <f t="shared" si="4"/>
        <v>1978</v>
      </c>
    </row>
    <row r="45" spans="1:14" ht="12.75">
      <c r="A45" s="1">
        <v>1979</v>
      </c>
      <c r="B45" s="5">
        <v>0.0457</v>
      </c>
      <c r="C45" s="5">
        <v>0.0375</v>
      </c>
      <c r="D45" s="5">
        <v>0.0075</v>
      </c>
      <c r="E45" s="5">
        <v>0.01</v>
      </c>
      <c r="F45" s="14">
        <f t="shared" si="1"/>
        <v>0.0907</v>
      </c>
      <c r="G45" s="14">
        <f t="shared" si="2"/>
        <v>0.0907</v>
      </c>
      <c r="H45" s="14">
        <f>IF(Entry!D$16="R",$B45+$C45+$D45,$J45+$C45+$D45+$E45)</f>
        <v>0.12050000000000001</v>
      </c>
      <c r="I45" s="14">
        <f t="shared" si="5"/>
        <v>0.12050000000000001</v>
      </c>
      <c r="J45" s="5">
        <v>0.0655</v>
      </c>
      <c r="K45" s="1">
        <v>1979</v>
      </c>
      <c r="L45" s="9">
        <v>0</v>
      </c>
      <c r="N45">
        <f t="shared" si="4"/>
        <v>1979</v>
      </c>
    </row>
    <row r="46" spans="1:14" ht="12.75">
      <c r="A46" s="1">
        <v>1980</v>
      </c>
      <c r="B46" s="5">
        <v>0.0415</v>
      </c>
      <c r="C46" s="5">
        <v>0.0375</v>
      </c>
      <c r="D46" s="5">
        <v>0.0075</v>
      </c>
      <c r="E46" s="5">
        <v>0.01</v>
      </c>
      <c r="F46" s="14">
        <f t="shared" si="1"/>
        <v>0.0865</v>
      </c>
      <c r="G46" s="14">
        <f t="shared" si="2"/>
        <v>0.0865</v>
      </c>
      <c r="H46" s="14">
        <f>IF(Entry!D$16="R",$B46+$C46+$D46,$J46+$C46+$D46+$E46)</f>
        <v>0.11900000000000001</v>
      </c>
      <c r="I46" s="14">
        <f t="shared" si="5"/>
        <v>0.11900000000000001</v>
      </c>
      <c r="J46" s="5">
        <v>0.064</v>
      </c>
      <c r="K46" s="1">
        <v>1980</v>
      </c>
      <c r="L46" s="9">
        <v>0</v>
      </c>
      <c r="N46">
        <f t="shared" si="4"/>
        <v>1980</v>
      </c>
    </row>
    <row r="47" spans="1:14" ht="12.75">
      <c r="A47" s="1">
        <v>1981</v>
      </c>
      <c r="B47" s="5">
        <v>0.0258</v>
      </c>
      <c r="C47" s="5">
        <v>0.0375</v>
      </c>
      <c r="D47" s="5">
        <v>0.0075</v>
      </c>
      <c r="E47" s="5">
        <v>0.01</v>
      </c>
      <c r="F47" s="14">
        <f t="shared" si="1"/>
        <v>0.0708</v>
      </c>
      <c r="G47" s="14">
        <f t="shared" si="2"/>
        <v>0.0708</v>
      </c>
      <c r="H47" s="14">
        <f>IF(Entry!D$16="R",$B47+$C47+$D47,$J47+$C47+$D47+$E47)</f>
        <v>0.0992</v>
      </c>
      <c r="I47" s="14">
        <f t="shared" si="5"/>
        <v>0.0992</v>
      </c>
      <c r="J47" s="5">
        <v>0.0442</v>
      </c>
      <c r="K47" s="1">
        <v>1981</v>
      </c>
      <c r="L47" s="9">
        <v>0</v>
      </c>
      <c r="N47">
        <f t="shared" si="4"/>
        <v>1981</v>
      </c>
    </row>
    <row r="48" spans="1:14" ht="12.75">
      <c r="A48" s="1">
        <v>1982</v>
      </c>
      <c r="B48" s="5">
        <v>0.0259</v>
      </c>
      <c r="C48" s="5">
        <v>0.0375</v>
      </c>
      <c r="D48" s="5">
        <v>0.0075</v>
      </c>
      <c r="E48" s="5">
        <v>0.01</v>
      </c>
      <c r="F48" s="14">
        <f t="shared" si="1"/>
        <v>0.07089999999999999</v>
      </c>
      <c r="G48" s="14">
        <f t="shared" si="2"/>
        <v>0.07089999999999999</v>
      </c>
      <c r="H48" s="14">
        <f>IF(Entry!D$16="R",$B48+$C48+$D48,$J48+$C48+$D48+$E48)</f>
        <v>0.09879999999999999</v>
      </c>
      <c r="I48" s="14">
        <f t="shared" si="5"/>
        <v>0.09879999999999999</v>
      </c>
      <c r="J48" s="5">
        <v>0.0438</v>
      </c>
      <c r="K48" s="1">
        <v>1982</v>
      </c>
      <c r="L48" s="9">
        <v>0</v>
      </c>
      <c r="N48">
        <f t="shared" si="4"/>
        <v>1982</v>
      </c>
    </row>
    <row r="49" spans="1:14" ht="12.75">
      <c r="A49" s="1">
        <v>1983</v>
      </c>
      <c r="B49" s="5">
        <v>0.0288</v>
      </c>
      <c r="C49" s="5">
        <v>0.0375</v>
      </c>
      <c r="D49" s="5">
        <v>0.0075</v>
      </c>
      <c r="E49" s="5">
        <v>0.01</v>
      </c>
      <c r="F49" s="14">
        <f t="shared" si="1"/>
        <v>0.0738</v>
      </c>
      <c r="G49" s="14">
        <f t="shared" si="2"/>
        <v>0.0738</v>
      </c>
      <c r="H49" s="14">
        <f>IF(Entry!D$16="R",$B49+$C49+$D49,$J49+$C49+$D49+$E49)</f>
        <v>0.0906</v>
      </c>
      <c r="I49" s="14">
        <f t="shared" si="5"/>
        <v>0.0906</v>
      </c>
      <c r="J49" s="5">
        <v>0.0356</v>
      </c>
      <c r="K49" s="1">
        <v>1983</v>
      </c>
      <c r="L49" s="9">
        <v>0</v>
      </c>
      <c r="N49">
        <f t="shared" si="4"/>
        <v>1983</v>
      </c>
    </row>
    <row r="50" spans="1:14" ht="12.75">
      <c r="A50" s="1">
        <v>1984</v>
      </c>
      <c r="B50" s="5">
        <v>0.0297</v>
      </c>
      <c r="C50" s="5">
        <v>0.0375</v>
      </c>
      <c r="D50" s="5">
        <v>0.0075</v>
      </c>
      <c r="E50" s="5">
        <v>0.01</v>
      </c>
      <c r="F50" s="14">
        <f t="shared" si="1"/>
        <v>0.07469999999999999</v>
      </c>
      <c r="G50" s="14">
        <f t="shared" si="2"/>
        <v>0.07469999999999999</v>
      </c>
      <c r="H50" s="14">
        <f>IF(Entry!D$16="R",$B50+$C50+$D50,$J50+$C50+$D50+$E50)</f>
        <v>0.09399999999999999</v>
      </c>
      <c r="I50" s="14">
        <f t="shared" si="5"/>
        <v>0.09399999999999999</v>
      </c>
      <c r="J50" s="5">
        <v>0.039</v>
      </c>
      <c r="K50" s="1">
        <v>1984</v>
      </c>
      <c r="L50" s="9">
        <v>0</v>
      </c>
      <c r="N50">
        <f t="shared" si="4"/>
        <v>1984</v>
      </c>
    </row>
    <row r="51" spans="1:14" ht="12.75">
      <c r="A51" s="1">
        <v>1985</v>
      </c>
      <c r="B51" s="5">
        <v>0.0357</v>
      </c>
      <c r="C51" s="5">
        <v>0.0375</v>
      </c>
      <c r="D51" s="5">
        <v>0.0075</v>
      </c>
      <c r="E51" s="5">
        <v>0.01</v>
      </c>
      <c r="F51" s="14">
        <f t="shared" si="1"/>
        <v>0.0807</v>
      </c>
      <c r="G51" s="14">
        <f t="shared" si="2"/>
        <v>0.0807</v>
      </c>
      <c r="H51" s="14">
        <f>IF(Entry!D$16="R",$B51+$C51+$D51,$J51+$C51+$D51+$E51)</f>
        <v>0.1042</v>
      </c>
      <c r="I51" s="14">
        <f t="shared" si="5"/>
        <v>0.1042</v>
      </c>
      <c r="J51" s="5">
        <v>0.0492</v>
      </c>
      <c r="K51" s="1">
        <v>1985</v>
      </c>
      <c r="L51" s="9">
        <v>0</v>
      </c>
      <c r="N51">
        <f t="shared" si="4"/>
        <v>1985</v>
      </c>
    </row>
    <row r="52" spans="1:14" ht="12.75">
      <c r="A52" s="1">
        <v>1986</v>
      </c>
      <c r="B52" s="5">
        <v>0.0259</v>
      </c>
      <c r="C52" s="5">
        <v>0.0375</v>
      </c>
      <c r="D52" s="5">
        <v>0.0075</v>
      </c>
      <c r="E52" s="5">
        <v>0.01</v>
      </c>
      <c r="F52" s="14">
        <f t="shared" si="1"/>
        <v>0.07089999999999999</v>
      </c>
      <c r="G52" s="14">
        <f t="shared" si="2"/>
        <v>0.07089999999999999</v>
      </c>
      <c r="H52" s="14">
        <f>IF(Entry!D$16="R",$B52+$C52+$D52,$J52+$C52+$D52+$E52)</f>
        <v>0.09430000000000001</v>
      </c>
      <c r="I52" s="14">
        <f t="shared" si="5"/>
        <v>0.09430000000000001</v>
      </c>
      <c r="J52" s="5">
        <v>0.0393</v>
      </c>
      <c r="K52" s="1">
        <v>1986</v>
      </c>
      <c r="L52" s="9">
        <v>0</v>
      </c>
      <c r="N52">
        <f t="shared" si="4"/>
        <v>1986</v>
      </c>
    </row>
    <row r="53" spans="1:14" ht="12.75">
      <c r="A53" s="1">
        <v>1987</v>
      </c>
      <c r="B53" s="5">
        <v>0.0261</v>
      </c>
      <c r="C53" s="5">
        <v>0.0375</v>
      </c>
      <c r="D53" s="5">
        <v>0.0075</v>
      </c>
      <c r="E53" s="5">
        <v>0.01</v>
      </c>
      <c r="F53" s="14">
        <f t="shared" si="1"/>
        <v>0.0711</v>
      </c>
      <c r="G53" s="14">
        <f t="shared" si="2"/>
        <v>0.0711</v>
      </c>
      <c r="H53" s="14">
        <f>IF(Entry!D$16="R",$B53+$C53+$D53,$J53+$C53+$D53+$E53)</f>
        <v>0.09779999999999998</v>
      </c>
      <c r="I53" s="14">
        <f t="shared" si="5"/>
        <v>0.09779999999999998</v>
      </c>
      <c r="J53" s="5">
        <v>0.0428</v>
      </c>
      <c r="K53" s="1">
        <v>1987</v>
      </c>
      <c r="L53" s="9">
        <v>0</v>
      </c>
      <c r="N53">
        <f t="shared" si="4"/>
        <v>1987</v>
      </c>
    </row>
    <row r="54" spans="1:14" ht="12.75">
      <c r="A54" s="1">
        <v>1988</v>
      </c>
      <c r="B54" s="5">
        <v>0.0251</v>
      </c>
      <c r="C54" s="5">
        <v>0.0375</v>
      </c>
      <c r="D54" s="5">
        <v>0.0075</v>
      </c>
      <c r="E54" s="5">
        <v>0.02</v>
      </c>
      <c r="F54" s="14">
        <f t="shared" si="1"/>
        <v>0.0701</v>
      </c>
      <c r="G54" s="14">
        <f t="shared" si="2"/>
        <v>0.0701</v>
      </c>
      <c r="H54" s="14">
        <f>IF(Entry!D$16="R",$B54+$C54+$D54,$J54+$C54+$D54+$E54)</f>
        <v>0.109</v>
      </c>
      <c r="I54" s="14">
        <f t="shared" si="5"/>
        <v>0.109</v>
      </c>
      <c r="J54" s="5">
        <v>0.044</v>
      </c>
      <c r="K54" s="1">
        <v>1988</v>
      </c>
      <c r="L54" s="9">
        <v>0</v>
      </c>
      <c r="N54">
        <f t="shared" si="4"/>
        <v>1988</v>
      </c>
    </row>
    <row r="55" spans="1:14" ht="12.75">
      <c r="A55" s="1">
        <v>1989</v>
      </c>
      <c r="B55" s="5">
        <v>0.0694</v>
      </c>
      <c r="C55" s="5">
        <v>0.0375</v>
      </c>
      <c r="D55" s="5">
        <v>0.0075</v>
      </c>
      <c r="E55" s="5">
        <v>0.02</v>
      </c>
      <c r="F55" s="14">
        <f t="shared" si="1"/>
        <v>0.1144</v>
      </c>
      <c r="G55" s="14">
        <f t="shared" si="2"/>
        <v>0.1144</v>
      </c>
      <c r="H55" s="14">
        <f>IF(Entry!D$16="R",$B55+$C55+$D55,$J55+$C55+$D55+$E55)</f>
        <v>0.14429999999999998</v>
      </c>
      <c r="I55" s="14">
        <f t="shared" si="5"/>
        <v>0.14429999999999998</v>
      </c>
      <c r="J55" s="5">
        <v>0.0793</v>
      </c>
      <c r="K55" s="1">
        <v>1989</v>
      </c>
      <c r="L55" s="9">
        <v>0</v>
      </c>
      <c r="N55">
        <f t="shared" si="4"/>
        <v>1989</v>
      </c>
    </row>
    <row r="56" spans="1:14" ht="12.75">
      <c r="A56" s="1">
        <v>1990</v>
      </c>
      <c r="B56" s="5">
        <v>0.0694</v>
      </c>
      <c r="C56" s="5">
        <v>0.0375</v>
      </c>
      <c r="D56" s="5">
        <v>0.0075</v>
      </c>
      <c r="E56" s="5">
        <v>0.02</v>
      </c>
      <c r="F56" s="14">
        <f t="shared" si="1"/>
        <v>0.1144</v>
      </c>
      <c r="G56" s="14">
        <f t="shared" si="2"/>
        <v>0.1144</v>
      </c>
      <c r="H56" s="14">
        <f>IF(Entry!D$16="R",$B56+$C56+$D56,$J56+$C56+$D56+$E56)</f>
        <v>0.144</v>
      </c>
      <c r="I56" s="14">
        <f t="shared" si="5"/>
        <v>0.144</v>
      </c>
      <c r="J56" s="5">
        <v>0.079</v>
      </c>
      <c r="K56" s="1">
        <v>1990</v>
      </c>
      <c r="L56" s="9">
        <v>0</v>
      </c>
      <c r="N56">
        <f t="shared" si="4"/>
        <v>1990</v>
      </c>
    </row>
    <row r="57" spans="1:14" ht="12.75">
      <c r="A57" s="1">
        <v>1991</v>
      </c>
      <c r="B57" s="5">
        <v>0.0694</v>
      </c>
      <c r="C57" s="5">
        <v>0.0375</v>
      </c>
      <c r="D57" s="5">
        <v>0.0075</v>
      </c>
      <c r="E57" s="5">
        <v>0.02</v>
      </c>
      <c r="F57" s="14">
        <f t="shared" si="1"/>
        <v>0.1144</v>
      </c>
      <c r="G57" s="14">
        <f t="shared" si="2"/>
        <v>0.1144</v>
      </c>
      <c r="H57" s="14">
        <f>IF(Entry!D$16="R",$B57+$C57+$D57,$J57+$C57+$D57+$E57)</f>
        <v>0.14379999999999998</v>
      </c>
      <c r="I57" s="14">
        <f t="shared" si="5"/>
        <v>0.14379999999999998</v>
      </c>
      <c r="J57" s="5">
        <v>0.0788</v>
      </c>
      <c r="K57" s="1">
        <v>1991</v>
      </c>
      <c r="L57" s="9">
        <v>0</v>
      </c>
      <c r="N57">
        <f t="shared" si="4"/>
        <v>1991</v>
      </c>
    </row>
    <row r="58" spans="1:14" ht="12.75">
      <c r="A58" s="1">
        <v>1992</v>
      </c>
      <c r="B58" s="5">
        <v>0.0824</v>
      </c>
      <c r="C58" s="5">
        <v>0.0375</v>
      </c>
      <c r="D58" s="5">
        <v>0.0075</v>
      </c>
      <c r="E58" s="5">
        <v>0.02</v>
      </c>
      <c r="F58" s="14">
        <f t="shared" si="1"/>
        <v>0.1274</v>
      </c>
      <c r="G58" s="14">
        <f t="shared" si="2"/>
        <v>0.1274</v>
      </c>
      <c r="H58" s="14">
        <f>IF(Entry!D$16="R",$B58+$C58+$D58,$J58+$C58+$D58+$E58)</f>
        <v>0.1681</v>
      </c>
      <c r="I58" s="14">
        <f t="shared" si="5"/>
        <v>0.1681</v>
      </c>
      <c r="J58" s="5">
        <v>0.1031</v>
      </c>
      <c r="K58" s="1">
        <v>1992</v>
      </c>
      <c r="L58" s="9">
        <v>0</v>
      </c>
      <c r="N58">
        <f t="shared" si="4"/>
        <v>1992</v>
      </c>
    </row>
    <row r="59" spans="1:14" ht="12.75">
      <c r="A59" s="1">
        <v>1993</v>
      </c>
      <c r="B59" s="5">
        <v>0.0704</v>
      </c>
      <c r="C59" s="5">
        <v>0.0375</v>
      </c>
      <c r="D59" s="5">
        <v>0.0075</v>
      </c>
      <c r="E59" s="5">
        <v>0.02</v>
      </c>
      <c r="F59" s="14">
        <f t="shared" si="1"/>
        <v>0.1154</v>
      </c>
      <c r="G59" s="14">
        <f t="shared" si="2"/>
        <v>0.1154</v>
      </c>
      <c r="H59" s="14">
        <f>IF(Entry!D$16="R",$B59+$C59+$D59,$J59+$C59+$D59+$E59)</f>
        <v>0.1499</v>
      </c>
      <c r="I59" s="14">
        <f t="shared" si="5"/>
        <v>0.1499</v>
      </c>
      <c r="J59" s="5">
        <v>0.0849</v>
      </c>
      <c r="K59" s="1">
        <v>1993</v>
      </c>
      <c r="L59" s="9">
        <v>0</v>
      </c>
      <c r="N59">
        <f t="shared" si="4"/>
        <v>1993</v>
      </c>
    </row>
    <row r="60" spans="1:14" ht="12.75">
      <c r="A60" s="1">
        <v>1994</v>
      </c>
      <c r="B60" s="5">
        <v>0.0733</v>
      </c>
      <c r="C60" s="5">
        <v>0.0375</v>
      </c>
      <c r="D60" s="5">
        <v>0.0075</v>
      </c>
      <c r="E60" s="5">
        <v>0.02</v>
      </c>
      <c r="F60" s="14">
        <f t="shared" si="1"/>
        <v>0.11830000000000002</v>
      </c>
      <c r="G60" s="14">
        <f t="shared" si="2"/>
        <v>0.11830000000000002</v>
      </c>
      <c r="H60" s="14">
        <f>IF(Entry!D$16="R",$B60+$C60+$D60,$J60+$C60+$D60+$E60)</f>
        <v>0.1537</v>
      </c>
      <c r="I60" s="14">
        <f t="shared" si="5"/>
        <v>0.1537</v>
      </c>
      <c r="J60" s="5">
        <v>0.0887</v>
      </c>
      <c r="K60" s="1">
        <v>1994</v>
      </c>
      <c r="L60" s="9">
        <v>0</v>
      </c>
      <c r="N60">
        <f t="shared" si="4"/>
        <v>1994</v>
      </c>
    </row>
    <row r="61" spans="1:14" ht="12.75">
      <c r="A61" s="1">
        <v>1995</v>
      </c>
      <c r="B61" s="5">
        <v>0.0722</v>
      </c>
      <c r="C61" s="5">
        <v>0.0375</v>
      </c>
      <c r="D61" s="5">
        <v>0.0075</v>
      </c>
      <c r="E61" s="5">
        <v>0.02</v>
      </c>
      <c r="F61" s="14">
        <f t="shared" si="1"/>
        <v>0.1172</v>
      </c>
      <c r="G61" s="14">
        <f t="shared" si="2"/>
        <v>0.1172</v>
      </c>
      <c r="H61" s="14">
        <f>IF(Entry!D$16="R",$B61+$C61+$D61,$J61+$C61+$D61+$E61)</f>
        <v>0.16</v>
      </c>
      <c r="I61" s="14">
        <f t="shared" si="5"/>
        <v>0.16</v>
      </c>
      <c r="J61" s="5">
        <v>0.095</v>
      </c>
      <c r="K61" s="1">
        <v>1995</v>
      </c>
      <c r="L61" s="9">
        <v>0</v>
      </c>
      <c r="N61">
        <f t="shared" si="4"/>
        <v>1995</v>
      </c>
    </row>
    <row r="62" spans="1:14" ht="12.75">
      <c r="A62" s="1">
        <v>1996</v>
      </c>
      <c r="B62" s="5">
        <v>0.0722</v>
      </c>
      <c r="C62" s="5">
        <v>0.0375</v>
      </c>
      <c r="D62" s="5">
        <v>0.0075</v>
      </c>
      <c r="E62" s="5">
        <v>0.02</v>
      </c>
      <c r="F62" s="14">
        <f t="shared" si="1"/>
        <v>0.1172</v>
      </c>
      <c r="G62" s="14">
        <f t="shared" si="2"/>
        <v>0.1172</v>
      </c>
      <c r="H62" s="14">
        <f>IF(Entry!D$16="R",$B62+$C62+$D62,$J62+$C62+$D62+$E62)</f>
        <v>0.1601</v>
      </c>
      <c r="I62" s="14">
        <f t="shared" si="5"/>
        <v>0.1601</v>
      </c>
      <c r="J62" s="5">
        <v>0.0951</v>
      </c>
      <c r="K62" s="1">
        <v>1996</v>
      </c>
      <c r="L62" s="9">
        <v>0</v>
      </c>
      <c r="N62">
        <f t="shared" si="4"/>
        <v>1996</v>
      </c>
    </row>
    <row r="63" spans="1:14" ht="12.75">
      <c r="A63" s="1">
        <v>1997</v>
      </c>
      <c r="B63" s="5">
        <v>0.0727</v>
      </c>
      <c r="C63" s="5">
        <v>0.0375</v>
      </c>
      <c r="D63" s="5">
        <v>0.0075</v>
      </c>
      <c r="E63" s="5">
        <v>0.02</v>
      </c>
      <c r="F63" s="14">
        <f t="shared" si="1"/>
        <v>0.1177</v>
      </c>
      <c r="G63" s="14">
        <f t="shared" si="2"/>
        <v>0.1177</v>
      </c>
      <c r="H63" s="14">
        <f>IF(Entry!D$16="R",$B63+$C63+$D63,$J63+$C63+$D63+$E63)</f>
        <v>0.1582</v>
      </c>
      <c r="I63" s="14">
        <f t="shared" si="5"/>
        <v>0.1582</v>
      </c>
      <c r="J63" s="5">
        <v>0.0932</v>
      </c>
      <c r="K63" s="1">
        <v>1997</v>
      </c>
      <c r="L63" s="9">
        <v>0</v>
      </c>
      <c r="N63">
        <f t="shared" si="4"/>
        <v>1997</v>
      </c>
    </row>
    <row r="64" spans="1:14" ht="12.75">
      <c r="A64">
        <v>1998</v>
      </c>
      <c r="B64" s="5">
        <v>0.0721</v>
      </c>
      <c r="C64" s="5">
        <v>0.0375</v>
      </c>
      <c r="D64" s="5">
        <v>0.0075</v>
      </c>
      <c r="E64" s="5">
        <v>0.02</v>
      </c>
      <c r="F64" s="14">
        <f t="shared" si="1"/>
        <v>0.11710000000000001</v>
      </c>
      <c r="G64" s="14">
        <f t="shared" si="2"/>
        <v>0.11710000000000001</v>
      </c>
      <c r="H64" s="14">
        <f>IF(Entry!D$16="R",$B64+$C64+$D64,$J64+$C64+$D64+$E64)</f>
        <v>0.1672</v>
      </c>
      <c r="I64" s="14">
        <f t="shared" si="5"/>
        <v>0.1672</v>
      </c>
      <c r="J64" s="5">
        <v>0.1022</v>
      </c>
      <c r="K64" s="1">
        <v>1998</v>
      </c>
      <c r="L64" s="9">
        <v>0</v>
      </c>
      <c r="N64">
        <f t="shared" si="4"/>
        <v>1998</v>
      </c>
    </row>
    <row r="65" spans="1:14" ht="12.75">
      <c r="A65" s="1">
        <v>1999</v>
      </c>
      <c r="B65" s="5">
        <v>0.0723</v>
      </c>
      <c r="C65" s="5">
        <v>0.0375</v>
      </c>
      <c r="D65" s="5">
        <v>0.0075</v>
      </c>
      <c r="E65" s="5">
        <v>0.02</v>
      </c>
      <c r="F65" s="14">
        <f t="shared" si="1"/>
        <v>0.11730000000000002</v>
      </c>
      <c r="G65" s="14">
        <f t="shared" si="2"/>
        <v>0.11730000000000002</v>
      </c>
      <c r="H65" s="14">
        <f>IF(Entry!D$16="R",$B65+$C65+$D65,$J65+$C65+$D65+$E65)</f>
        <v>0.1712</v>
      </c>
      <c r="I65" s="14">
        <f t="shared" si="5"/>
        <v>0.1712</v>
      </c>
      <c r="J65" s="5">
        <v>0.1062</v>
      </c>
      <c r="K65" s="1">
        <v>1999</v>
      </c>
      <c r="L65" s="9">
        <v>0</v>
      </c>
      <c r="N65">
        <f t="shared" si="4"/>
        <v>1999</v>
      </c>
    </row>
    <row r="66" spans="1:14" ht="12.75">
      <c r="A66">
        <v>2000</v>
      </c>
      <c r="B66" s="5">
        <v>0.0717</v>
      </c>
      <c r="C66" s="5">
        <v>0.0375</v>
      </c>
      <c r="D66" s="5">
        <v>0.0075</v>
      </c>
      <c r="E66" s="5">
        <v>0.02</v>
      </c>
      <c r="F66" s="14">
        <f t="shared" si="1"/>
        <v>0.1167</v>
      </c>
      <c r="G66" s="14">
        <f t="shared" si="2"/>
        <v>0.1167</v>
      </c>
      <c r="H66" s="14">
        <f>IF(Entry!D$16="R",$B66+$C66+$D66,$J66+$C66+$D66+$E66)</f>
        <v>0.1692</v>
      </c>
      <c r="I66" s="14">
        <f t="shared" si="5"/>
        <v>0.1692</v>
      </c>
      <c r="J66" s="5">
        <v>0.1042</v>
      </c>
      <c r="K66" s="1">
        <v>2000</v>
      </c>
      <c r="L66" s="9">
        <v>0</v>
      </c>
      <c r="N66">
        <f t="shared" si="4"/>
        <v>2000</v>
      </c>
    </row>
    <row r="67" spans="1:14" ht="12.75">
      <c r="A67" s="1">
        <v>2001</v>
      </c>
      <c r="B67" s="5">
        <v>0.0741</v>
      </c>
      <c r="C67" s="5">
        <v>0.0375</v>
      </c>
      <c r="D67" s="5">
        <v>0.0075</v>
      </c>
      <c r="E67" s="5">
        <v>0.02</v>
      </c>
      <c r="F67" s="14">
        <f t="shared" si="1"/>
        <v>0.11910000000000001</v>
      </c>
      <c r="G67" s="14">
        <f t="shared" si="2"/>
        <v>0.11910000000000001</v>
      </c>
      <c r="H67" s="14">
        <f>IF(Entry!D$16="R",$B67+$C67+$D67,$J67+$C67+$D67+$E67)</f>
        <v>0.1852</v>
      </c>
      <c r="I67" s="14">
        <f t="shared" si="5"/>
        <v>0.1852</v>
      </c>
      <c r="J67" s="5">
        <v>0.1202</v>
      </c>
      <c r="K67" s="1">
        <v>2001</v>
      </c>
      <c r="L67" s="9"/>
      <c r="N67">
        <f t="shared" si="4"/>
        <v>2001</v>
      </c>
    </row>
    <row r="68" spans="1:14" ht="12.75">
      <c r="A68">
        <v>2002</v>
      </c>
      <c r="B68" s="5">
        <v>0.0762</v>
      </c>
      <c r="C68" s="5">
        <v>0.0375</v>
      </c>
      <c r="D68" s="5">
        <v>0.0075</v>
      </c>
      <c r="E68" s="5">
        <v>0.02</v>
      </c>
      <c r="F68" s="14">
        <f t="shared" si="1"/>
        <v>0.1212</v>
      </c>
      <c r="G68" s="14">
        <f t="shared" si="2"/>
        <v>0.1212</v>
      </c>
      <c r="H68" s="14">
        <f>IF(Entry!D$16="R",$B68+$C68+$D68,$J68+$C68+$D68+$E68)</f>
        <v>0.1844</v>
      </c>
      <c r="I68" s="14">
        <f t="shared" si="5"/>
        <v>0.1844</v>
      </c>
      <c r="J68" s="5">
        <v>0.1194</v>
      </c>
      <c r="K68" s="1">
        <v>2002</v>
      </c>
      <c r="L68" s="9"/>
      <c r="N68">
        <f t="shared" si="4"/>
        <v>2002</v>
      </c>
    </row>
    <row r="69" spans="1:14" ht="12.75">
      <c r="A69" s="1">
        <v>2003</v>
      </c>
      <c r="B69" s="5">
        <v>0.0766</v>
      </c>
      <c r="C69" s="5">
        <v>0.0375</v>
      </c>
      <c r="D69" s="5">
        <v>0.0075</v>
      </c>
      <c r="E69" s="5">
        <v>0.02</v>
      </c>
      <c r="F69" s="14">
        <f t="shared" si="1"/>
        <v>0.12160000000000001</v>
      </c>
      <c r="G69" s="14">
        <f t="shared" si="2"/>
        <v>0.12160000000000001</v>
      </c>
      <c r="H69" s="14">
        <f>IF(Entry!D$16="R",$B69+$C69+$D69,$J69+$C69+$D69+$E69)</f>
        <v>0.1846</v>
      </c>
      <c r="I69" s="14">
        <f t="shared" si="5"/>
        <v>0.1846</v>
      </c>
      <c r="J69" s="5">
        <v>0.1196</v>
      </c>
      <c r="K69" s="1">
        <v>2003</v>
      </c>
      <c r="L69" s="9"/>
      <c r="N69">
        <f t="shared" si="4"/>
        <v>2003</v>
      </c>
    </row>
    <row r="70" spans="1:14" ht="12.75">
      <c r="A70">
        <v>2004</v>
      </c>
      <c r="B70" s="5">
        <v>0.076</v>
      </c>
      <c r="C70" s="5">
        <v>0.0375</v>
      </c>
      <c r="D70" s="5">
        <v>0.0075</v>
      </c>
      <c r="E70" s="5">
        <v>0.02</v>
      </c>
      <c r="F70" s="14">
        <f t="shared" si="1"/>
        <v>0.121</v>
      </c>
      <c r="G70" s="14">
        <f t="shared" si="2"/>
        <v>0.121</v>
      </c>
      <c r="H70" s="14">
        <f>IF(Entry!D$16="R",$B70+$C70+$D70,$J70+$C70+$D70+$E70)</f>
        <v>0.1897</v>
      </c>
      <c r="I70" s="14">
        <f t="shared" si="5"/>
        <v>0.1897</v>
      </c>
      <c r="J70" s="5">
        <v>0.1247</v>
      </c>
      <c r="K70" s="1">
        <v>2004</v>
      </c>
      <c r="L70" s="9"/>
      <c r="N70">
        <f t="shared" si="4"/>
        <v>2004</v>
      </c>
    </row>
    <row r="71" spans="1:14" ht="12.75">
      <c r="A71" s="1">
        <v>2005</v>
      </c>
      <c r="B71" s="5">
        <v>0.0761</v>
      </c>
      <c r="C71" s="5">
        <v>0.0375</v>
      </c>
      <c r="D71" s="5">
        <v>0.0075</v>
      </c>
      <c r="E71" s="5">
        <v>0.02</v>
      </c>
      <c r="F71" s="14">
        <f>B71+C71+D71</f>
        <v>0.12110000000000001</v>
      </c>
      <c r="G71" s="14">
        <f t="shared" si="2"/>
        <v>0.12110000000000001</v>
      </c>
      <c r="H71" s="14">
        <f>IF(Entry!D$16="R",$B71+$C71+$D71,$J71+$C71+$D71+$E71)</f>
        <v>0.1898</v>
      </c>
      <c r="I71" s="14">
        <f t="shared" si="5"/>
        <v>0.1898</v>
      </c>
      <c r="J71" s="5">
        <v>0.1248</v>
      </c>
      <c r="K71" s="1">
        <v>2005</v>
      </c>
      <c r="L71" s="9"/>
      <c r="N71">
        <f t="shared" si="4"/>
        <v>2005</v>
      </c>
    </row>
    <row r="72" spans="1:14" ht="12.75">
      <c r="A72">
        <v>2006</v>
      </c>
      <c r="B72" s="5">
        <v>0.0764</v>
      </c>
      <c r="C72" s="5">
        <v>0.0375</v>
      </c>
      <c r="D72" s="5">
        <v>0.0075</v>
      </c>
      <c r="E72" s="5">
        <v>0.03</v>
      </c>
      <c r="F72" s="14">
        <f aca="true" t="shared" si="6" ref="F72:F89">B72+C72+D72</f>
        <v>0.12140000000000001</v>
      </c>
      <c r="G72" s="14">
        <f aca="true" t="shared" si="7" ref="G72:G89">$B72+$C72+IF(A72&gt;=1973,$D72,0)</f>
        <v>0.12140000000000001</v>
      </c>
      <c r="H72" s="14">
        <f>IF(Entry!D$16="R",$B72+$C72+$D72,$J72+$C72+$D72+$E72)</f>
        <v>0.2006</v>
      </c>
      <c r="I72" s="14">
        <f aca="true" t="shared" si="8" ref="I72:I85">$J72+$C72+$D72+E72</f>
        <v>0.2006</v>
      </c>
      <c r="J72" s="5">
        <v>0.1256</v>
      </c>
      <c r="K72" s="1">
        <v>2006</v>
      </c>
      <c r="L72" s="9"/>
      <c r="N72">
        <f t="shared" si="4"/>
        <v>2006</v>
      </c>
    </row>
    <row r="73" spans="1:14" ht="12.75">
      <c r="A73" s="1">
        <v>2007</v>
      </c>
      <c r="B73" s="5">
        <v>0.0743</v>
      </c>
      <c r="C73" s="5">
        <v>0.0375</v>
      </c>
      <c r="D73" s="5">
        <v>0.0075</v>
      </c>
      <c r="E73" s="5">
        <v>0.03</v>
      </c>
      <c r="F73" s="14">
        <f t="shared" si="6"/>
        <v>0.11930000000000002</v>
      </c>
      <c r="G73" s="14">
        <f t="shared" si="7"/>
        <v>0.11930000000000002</v>
      </c>
      <c r="H73" s="14">
        <f>IF(Entry!D$16="R",$B73+$C73+$D73,$J73+$C73+$D73+$E73)</f>
        <v>0.1916</v>
      </c>
      <c r="I73" s="14">
        <f t="shared" si="8"/>
        <v>0.1916</v>
      </c>
      <c r="J73" s="5">
        <v>0.1166</v>
      </c>
      <c r="K73" s="1">
        <v>2007</v>
      </c>
      <c r="L73" s="9"/>
      <c r="N73">
        <f t="shared" si="4"/>
        <v>2007</v>
      </c>
    </row>
    <row r="74" spans="1:14" ht="12.75">
      <c r="A74">
        <v>2008</v>
      </c>
      <c r="B74" s="5">
        <v>0.0742</v>
      </c>
      <c r="C74" s="5">
        <v>0.0375</v>
      </c>
      <c r="D74" s="5">
        <v>0.0075</v>
      </c>
      <c r="E74" s="5">
        <v>0.03</v>
      </c>
      <c r="F74" s="14">
        <f t="shared" si="6"/>
        <v>0.1192</v>
      </c>
      <c r="G74" s="14">
        <f t="shared" si="7"/>
        <v>0.1192</v>
      </c>
      <c r="H74" s="14">
        <f>IF(Entry!D$16="R",$B74+$C74+$D74,$J74+$C74+$D74+$E74)</f>
        <v>0.1913</v>
      </c>
      <c r="I74" s="14">
        <f t="shared" si="8"/>
        <v>0.1913</v>
      </c>
      <c r="J74" s="5">
        <v>0.1163</v>
      </c>
      <c r="K74" s="1">
        <v>2008</v>
      </c>
      <c r="L74" s="9"/>
      <c r="N74">
        <f aca="true" t="shared" si="9" ref="N74:N91">IF(B74&gt;0,A74,N73)</f>
        <v>2008</v>
      </c>
    </row>
    <row r="75" spans="1:14" ht="12.75">
      <c r="A75" s="1">
        <v>2009</v>
      </c>
      <c r="B75" s="5">
        <v>0.0742</v>
      </c>
      <c r="C75" s="5">
        <v>0.0375</v>
      </c>
      <c r="D75" s="5">
        <v>0.0075</v>
      </c>
      <c r="E75" s="5">
        <v>0.03</v>
      </c>
      <c r="F75" s="14">
        <f t="shared" si="6"/>
        <v>0.1192</v>
      </c>
      <c r="G75" s="14">
        <f t="shared" si="7"/>
        <v>0.1192</v>
      </c>
      <c r="H75" s="14">
        <f>IF(Entry!D$16="R",$B75+$C75+$D75,$J75+$C75+$D75+$E75)</f>
        <v>0.1913</v>
      </c>
      <c r="I75" s="14">
        <f t="shared" si="8"/>
        <v>0.1913</v>
      </c>
      <c r="J75" s="5">
        <v>0.1163</v>
      </c>
      <c r="K75" s="1">
        <v>2009</v>
      </c>
      <c r="L75" s="9"/>
      <c r="N75">
        <f t="shared" si="9"/>
        <v>2009</v>
      </c>
    </row>
    <row r="76" spans="1:14" ht="12.75">
      <c r="A76">
        <v>2010</v>
      </c>
      <c r="B76" s="5">
        <v>0.0758</v>
      </c>
      <c r="C76" s="5">
        <v>0.0375</v>
      </c>
      <c r="D76" s="5">
        <v>0.0075</v>
      </c>
      <c r="E76" s="5">
        <v>0.03</v>
      </c>
      <c r="F76" s="14">
        <f t="shared" si="6"/>
        <v>0.12080000000000002</v>
      </c>
      <c r="G76" s="14">
        <f t="shared" si="7"/>
        <v>0.12080000000000002</v>
      </c>
      <c r="H76" s="14">
        <f>IF(Entry!D$16="R",$B76+$C76+$D76,$J76+$C76+$D76+$E76)</f>
        <v>0.1947</v>
      </c>
      <c r="I76" s="14">
        <f t="shared" si="8"/>
        <v>0.1947</v>
      </c>
      <c r="J76" s="5">
        <v>0.1197</v>
      </c>
      <c r="K76" s="1">
        <v>2010</v>
      </c>
      <c r="L76" s="9"/>
      <c r="N76">
        <f t="shared" si="9"/>
        <v>2010</v>
      </c>
    </row>
    <row r="77" spans="1:14" ht="12.75">
      <c r="A77" s="1">
        <v>2011</v>
      </c>
      <c r="B77" s="5">
        <v>0.0758</v>
      </c>
      <c r="C77" s="5">
        <v>0.0375</v>
      </c>
      <c r="D77" s="5">
        <v>0.0075</v>
      </c>
      <c r="E77" s="5">
        <v>0.03</v>
      </c>
      <c r="F77" s="14">
        <f t="shared" si="6"/>
        <v>0.12080000000000002</v>
      </c>
      <c r="G77" s="14">
        <f t="shared" si="7"/>
        <v>0.12080000000000002</v>
      </c>
      <c r="H77" s="14">
        <f>IF(Entry!D$16="R",$B77+$C77+$D77,$J77+$C77+$D77+$E77)</f>
        <v>0.1947</v>
      </c>
      <c r="I77" s="14">
        <f t="shared" si="8"/>
        <v>0.1947</v>
      </c>
      <c r="J77" s="5">
        <v>0.1197</v>
      </c>
      <c r="K77" s="1">
        <v>2011</v>
      </c>
      <c r="L77" s="9"/>
      <c r="N77">
        <f t="shared" si="9"/>
        <v>2011</v>
      </c>
    </row>
    <row r="78" spans="1:14" ht="12.75">
      <c r="A78">
        <v>2012</v>
      </c>
      <c r="B78" s="5">
        <v>0.0758</v>
      </c>
      <c r="C78" s="5">
        <v>0.0375</v>
      </c>
      <c r="D78" s="5">
        <v>0.0075</v>
      </c>
      <c r="E78" s="5">
        <v>0.03</v>
      </c>
      <c r="F78" s="14">
        <f t="shared" si="6"/>
        <v>0.12080000000000002</v>
      </c>
      <c r="G78" s="14">
        <f t="shared" si="7"/>
        <v>0.12080000000000002</v>
      </c>
      <c r="H78" s="14">
        <f>IF(Entry!D$16="R",$B78+$C78+$D78,$J78+$C78+$D78+$E78)</f>
        <v>0.1951</v>
      </c>
      <c r="I78" s="14">
        <f t="shared" si="8"/>
        <v>0.1951</v>
      </c>
      <c r="J78" s="5">
        <v>0.1201</v>
      </c>
      <c r="K78" s="1">
        <v>2012</v>
      </c>
      <c r="L78" s="9"/>
      <c r="N78">
        <f t="shared" si="9"/>
        <v>2012</v>
      </c>
    </row>
    <row r="79" spans="1:14" ht="12.75">
      <c r="A79" s="1">
        <v>2013</v>
      </c>
      <c r="B79" s="5">
        <v>0.0765</v>
      </c>
      <c r="C79" s="5">
        <v>0.0375</v>
      </c>
      <c r="D79" s="5">
        <v>0.0075</v>
      </c>
      <c r="E79" s="5">
        <v>0.03</v>
      </c>
      <c r="F79" s="14">
        <f t="shared" si="6"/>
        <v>0.1215</v>
      </c>
      <c r="G79" s="14">
        <f t="shared" si="7"/>
        <v>0.1215</v>
      </c>
      <c r="H79" s="14">
        <f>IF(Entry!D$16="R",$B79+$C79+$D79,$J79+$C79+$D79+$E79)</f>
        <v>0.2001</v>
      </c>
      <c r="I79" s="14">
        <f t="shared" si="8"/>
        <v>0.2001</v>
      </c>
      <c r="J79" s="5">
        <v>0.1251</v>
      </c>
      <c r="K79" s="1">
        <v>2013</v>
      </c>
      <c r="L79" s="9"/>
      <c r="N79">
        <f t="shared" si="9"/>
        <v>2013</v>
      </c>
    </row>
    <row r="80" spans="1:14" ht="12.75">
      <c r="A80">
        <v>2014</v>
      </c>
      <c r="B80" s="5">
        <v>0.0752</v>
      </c>
      <c r="C80" s="5">
        <v>0.0375</v>
      </c>
      <c r="D80" s="5">
        <v>0.0075</v>
      </c>
      <c r="E80" s="5">
        <v>0.03</v>
      </c>
      <c r="F80" s="14">
        <f t="shared" si="6"/>
        <v>0.1202</v>
      </c>
      <c r="G80" s="14">
        <f t="shared" si="7"/>
        <v>0.1202</v>
      </c>
      <c r="H80" s="14">
        <f>IF(Entry!D$16="R",$B80+$C80+$D80,$J80+$C80+$D80+$E80)</f>
        <v>0.1988</v>
      </c>
      <c r="I80" s="14">
        <f t="shared" si="8"/>
        <v>0.1988</v>
      </c>
      <c r="J80" s="5">
        <v>0.1238</v>
      </c>
      <c r="K80" s="1">
        <v>2014</v>
      </c>
      <c r="L80" s="9"/>
      <c r="N80">
        <f t="shared" si="9"/>
        <v>2014</v>
      </c>
    </row>
    <row r="81" spans="1:14" ht="12.75">
      <c r="A81" s="1">
        <v>2015</v>
      </c>
      <c r="B81" s="5">
        <v>0.0751</v>
      </c>
      <c r="C81" s="5">
        <v>0.0375</v>
      </c>
      <c r="D81" s="5">
        <v>0.0075</v>
      </c>
      <c r="E81" s="5">
        <v>0.03</v>
      </c>
      <c r="F81" s="14">
        <f t="shared" si="6"/>
        <v>0.12010000000000001</v>
      </c>
      <c r="G81" s="14">
        <f t="shared" si="7"/>
        <v>0.12010000000000001</v>
      </c>
      <c r="H81" s="14">
        <f>IF(Entry!D$16="R",$B81+$C81+$D81,$J81+$C81+$D81+$E81)</f>
        <v>0.1968</v>
      </c>
      <c r="I81" s="14">
        <f t="shared" si="8"/>
        <v>0.1968</v>
      </c>
      <c r="J81" s="5">
        <v>0.1218</v>
      </c>
      <c r="K81" s="1">
        <v>2015</v>
      </c>
      <c r="L81" s="9"/>
      <c r="N81">
        <f t="shared" si="9"/>
        <v>2015</v>
      </c>
    </row>
    <row r="82" spans="1:14" ht="12.75">
      <c r="A82">
        <v>2016</v>
      </c>
      <c r="B82" s="5">
        <v>0.0684</v>
      </c>
      <c r="C82" s="5">
        <v>0.0375</v>
      </c>
      <c r="D82" s="5">
        <v>0.0075</v>
      </c>
      <c r="E82" s="5">
        <v>0.03</v>
      </c>
      <c r="F82" s="14">
        <f t="shared" si="6"/>
        <v>0.1134</v>
      </c>
      <c r="G82" s="14">
        <f t="shared" si="7"/>
        <v>0.1134</v>
      </c>
      <c r="H82" s="14">
        <f>IF(Entry!D$16="R",$B82+$C82+$D82,$J82+$C82+$D82+$E82)</f>
        <v>0.1945</v>
      </c>
      <c r="I82" s="14">
        <f t="shared" si="8"/>
        <v>0.1945</v>
      </c>
      <c r="J82" s="5">
        <v>0.1195</v>
      </c>
      <c r="K82" s="1">
        <v>2016</v>
      </c>
      <c r="L82" s="9"/>
      <c r="N82">
        <f t="shared" si="9"/>
        <v>2016</v>
      </c>
    </row>
    <row r="83" spans="1:14" ht="12.75">
      <c r="A83" s="1">
        <v>2017</v>
      </c>
      <c r="B83" s="5">
        <v>0.0664</v>
      </c>
      <c r="C83" s="5">
        <v>0.0375</v>
      </c>
      <c r="D83" s="5">
        <v>0.0075</v>
      </c>
      <c r="E83" s="5">
        <v>0.03</v>
      </c>
      <c r="F83" s="14">
        <f t="shared" si="6"/>
        <v>0.1114</v>
      </c>
      <c r="G83" s="14">
        <f t="shared" si="7"/>
        <v>0.1114</v>
      </c>
      <c r="H83" s="14">
        <f>IF(Entry!D$16="R",$B83+$C83+$D83,$J83+$C83+$D83+$E83)</f>
        <v>0.19090000000000001</v>
      </c>
      <c r="I83" s="14">
        <f t="shared" si="8"/>
        <v>0.19090000000000001</v>
      </c>
      <c r="J83" s="5">
        <v>0.1159</v>
      </c>
      <c r="K83" s="1">
        <v>2017</v>
      </c>
      <c r="L83" s="9"/>
      <c r="N83">
        <f t="shared" si="9"/>
        <v>2017</v>
      </c>
    </row>
    <row r="84" spans="1:14" ht="12.75">
      <c r="A84">
        <v>2018</v>
      </c>
      <c r="B84" s="64">
        <v>0.0654</v>
      </c>
      <c r="C84" s="5">
        <v>0.0375</v>
      </c>
      <c r="D84" s="5">
        <v>0.0075</v>
      </c>
      <c r="E84" s="5">
        <v>0.03</v>
      </c>
      <c r="F84" s="14">
        <f t="shared" si="6"/>
        <v>0.1104</v>
      </c>
      <c r="G84" s="14">
        <f t="shared" si="7"/>
        <v>0.1104</v>
      </c>
      <c r="H84" s="14">
        <f>IF(Entry!D$16="R",$B84+$C84+$D84,$J84+$C84+$D84+$E84)</f>
        <v>0.1897</v>
      </c>
      <c r="I84" s="14">
        <f t="shared" si="8"/>
        <v>0.1897</v>
      </c>
      <c r="J84" s="5">
        <v>0.1147</v>
      </c>
      <c r="K84" s="1">
        <v>2018</v>
      </c>
      <c r="L84" s="9"/>
      <c r="N84">
        <f t="shared" si="9"/>
        <v>2018</v>
      </c>
    </row>
    <row r="85" spans="1:14" ht="12.75">
      <c r="A85" s="1">
        <v>2019</v>
      </c>
      <c r="B85" s="5">
        <v>0.0554</v>
      </c>
      <c r="C85" s="5">
        <v>0.0375</v>
      </c>
      <c r="D85" s="5">
        <v>0.0075</v>
      </c>
      <c r="E85" s="5">
        <v>0.03</v>
      </c>
      <c r="F85" s="14">
        <f t="shared" si="6"/>
        <v>0.10039999999999999</v>
      </c>
      <c r="G85" s="14">
        <f t="shared" si="7"/>
        <v>0.10039999999999999</v>
      </c>
      <c r="H85" s="14">
        <f>IF(Entry!D$16="R",$B85+$C85+$D85,$J85+$C85+$D85+$E85)</f>
        <v>0.1836</v>
      </c>
      <c r="I85" s="14">
        <f t="shared" si="8"/>
        <v>0.1836</v>
      </c>
      <c r="J85" s="5">
        <v>0.1086</v>
      </c>
      <c r="K85" s="1">
        <v>2019</v>
      </c>
      <c r="L85" s="9"/>
      <c r="N85">
        <f t="shared" si="9"/>
        <v>2019</v>
      </c>
    </row>
    <row r="86" spans="1:14" ht="12.75">
      <c r="A86">
        <v>2020</v>
      </c>
      <c r="B86" s="5">
        <v>0.0591</v>
      </c>
      <c r="C86" s="5">
        <v>0.0375</v>
      </c>
      <c r="D86" s="5">
        <v>0.0075</v>
      </c>
      <c r="E86" s="5">
        <v>0.03</v>
      </c>
      <c r="F86" s="14">
        <f t="shared" si="6"/>
        <v>0.1041</v>
      </c>
      <c r="G86" s="14">
        <f t="shared" si="7"/>
        <v>0.1041</v>
      </c>
      <c r="H86" s="14">
        <f>IF(Entry!D$16="R",$B86+$C86+$D86,$J86+$C86+$D86+$E86)</f>
        <v>0.1932</v>
      </c>
      <c r="I86" s="14">
        <f>$J86+$C86+$D86+E86</f>
        <v>0.1932</v>
      </c>
      <c r="J86" s="5">
        <v>0.1182</v>
      </c>
      <c r="K86" s="1">
        <v>2020</v>
      </c>
      <c r="L86" s="9"/>
      <c r="N86">
        <f t="shared" si="9"/>
        <v>2020</v>
      </c>
    </row>
    <row r="87" spans="1:14" ht="12.75">
      <c r="A87" s="1">
        <v>2021</v>
      </c>
      <c r="B87" s="5">
        <v>0.058</v>
      </c>
      <c r="C87" s="5">
        <v>0.0375</v>
      </c>
      <c r="D87" s="5">
        <v>0.0075</v>
      </c>
      <c r="E87" s="5">
        <v>0.03</v>
      </c>
      <c r="F87" s="14">
        <f t="shared" si="6"/>
        <v>0.10300000000000001</v>
      </c>
      <c r="G87" s="14">
        <f t="shared" si="7"/>
        <v>0.10300000000000001</v>
      </c>
      <c r="H87" s="14">
        <f>IF(Entry!D$16="R",$B87+$C87+$D87,$J87+$C87+$D87+$E87)</f>
        <v>0.191</v>
      </c>
      <c r="I87" s="14">
        <f>$J87+$C87+$D87+E87</f>
        <v>0.191</v>
      </c>
      <c r="J87" s="5">
        <v>0.116</v>
      </c>
      <c r="K87" s="1">
        <v>2021</v>
      </c>
      <c r="L87" s="9"/>
      <c r="N87">
        <f t="shared" si="9"/>
        <v>2021</v>
      </c>
    </row>
    <row r="88" spans="1:14" ht="12.75">
      <c r="A88">
        <v>2022</v>
      </c>
      <c r="B88" s="5">
        <v>0.0517</v>
      </c>
      <c r="C88" s="5">
        <v>0.0375</v>
      </c>
      <c r="D88" s="5">
        <v>0.0075</v>
      </c>
      <c r="E88" s="5">
        <v>0.03</v>
      </c>
      <c r="F88" s="14">
        <f t="shared" si="6"/>
        <v>0.09670000000000001</v>
      </c>
      <c r="G88" s="14">
        <f t="shared" si="7"/>
        <v>0.09670000000000001</v>
      </c>
      <c r="H88" s="14">
        <f>IF(Entry!D$16="R",$B88+$C88+$D88,$J88+$C88+$D88+$E88)</f>
        <v>0.1744</v>
      </c>
      <c r="I88" s="14">
        <f>$J88+$C88+$D88+E88</f>
        <v>0.1744</v>
      </c>
      <c r="J88" s="5">
        <v>0.0994</v>
      </c>
      <c r="K88" s="1">
        <v>2022</v>
      </c>
      <c r="L88" s="9"/>
      <c r="N88">
        <f t="shared" si="9"/>
        <v>2022</v>
      </c>
    </row>
    <row r="89" spans="1:14" ht="12.75">
      <c r="A89" s="1">
        <v>2023</v>
      </c>
      <c r="B89" s="5">
        <v>0.0505</v>
      </c>
      <c r="C89" s="5">
        <v>0.0375</v>
      </c>
      <c r="D89" s="5">
        <v>0.0075</v>
      </c>
      <c r="E89" s="5">
        <v>0.03</v>
      </c>
      <c r="F89" s="14">
        <f t="shared" si="6"/>
        <v>0.0955</v>
      </c>
      <c r="G89" s="14">
        <f t="shared" si="7"/>
        <v>0.0955</v>
      </c>
      <c r="H89" s="14">
        <f>IF(Entry!D$16="R",$B89+$C89+$D89,$J89+$C89+$D89+$E89)</f>
        <v>0.17300000000000001</v>
      </c>
      <c r="I89" s="14">
        <f>$J89+$C89+$D89+E89</f>
        <v>0.17300000000000001</v>
      </c>
      <c r="J89" s="5">
        <v>0.098</v>
      </c>
      <c r="K89" s="1">
        <v>2023</v>
      </c>
      <c r="L89" s="9"/>
      <c r="N89">
        <f t="shared" si="9"/>
        <v>2023</v>
      </c>
    </row>
    <row r="90" spans="1:14" ht="12.75">
      <c r="A90">
        <v>2024</v>
      </c>
      <c r="B90" s="5">
        <v>0.0492</v>
      </c>
      <c r="C90" s="5">
        <v>0.0375</v>
      </c>
      <c r="D90" s="5">
        <v>0.0075</v>
      </c>
      <c r="E90" s="5">
        <v>0.03</v>
      </c>
      <c r="F90" s="14">
        <f>B90+C90+D90</f>
        <v>0.0942</v>
      </c>
      <c r="G90" s="14">
        <f>$B90+$C90+IF(A90&gt;=1973,$D90,0)</f>
        <v>0.0942</v>
      </c>
      <c r="H90" s="14">
        <f>IF(Entry!D$16="R",$B90+$C90+$D90,$J90+$C90+$D90+$E90)</f>
        <v>0.1704</v>
      </c>
      <c r="I90" s="14">
        <f>$J90+$C90+$D90+E90</f>
        <v>0.1704</v>
      </c>
      <c r="J90" s="5">
        <v>0.0954</v>
      </c>
      <c r="K90" s="1">
        <v>2024</v>
      </c>
      <c r="L90" s="9"/>
      <c r="N90">
        <f t="shared" si="9"/>
        <v>2024</v>
      </c>
    </row>
    <row r="91" spans="1:14" ht="12.75">
      <c r="A91" s="1">
        <v>2025</v>
      </c>
      <c r="B91" s="5"/>
      <c r="C91" s="5"/>
      <c r="D91" s="5"/>
      <c r="E91" s="5"/>
      <c r="F91" s="14"/>
      <c r="G91" s="14"/>
      <c r="H91" s="14"/>
      <c r="I91" s="14"/>
      <c r="K91" s="1"/>
      <c r="L91" s="9"/>
      <c r="N91">
        <f t="shared" si="9"/>
        <v>2024</v>
      </c>
    </row>
    <row r="92" spans="2:12" ht="12.75">
      <c r="B92" s="5"/>
      <c r="C92" s="5"/>
      <c r="D92" s="5"/>
      <c r="E92" s="5"/>
      <c r="F92" s="14"/>
      <c r="G92" s="14"/>
      <c r="H92" s="14"/>
      <c r="I92" s="14"/>
      <c r="K92" s="1"/>
      <c r="L92" s="9"/>
    </row>
    <row r="94" spans="2:3" ht="12.75">
      <c r="B94" t="s">
        <v>185</v>
      </c>
      <c r="C94" t="s">
        <v>186</v>
      </c>
    </row>
    <row r="95" spans="2:3" ht="12.75">
      <c r="B95">
        <v>5</v>
      </c>
      <c r="C95">
        <f>B95</f>
        <v>5</v>
      </c>
    </row>
    <row r="96" spans="2:3" ht="12.75">
      <c r="B96">
        <f>IF(UPPER(Entry!B15)="M",1,2)</f>
        <v>1</v>
      </c>
      <c r="C96">
        <f>B96</f>
        <v>1</v>
      </c>
    </row>
    <row r="97" spans="2:12" ht="12.75">
      <c r="B97" s="13">
        <v>0</v>
      </c>
      <c r="C97">
        <v>2</v>
      </c>
      <c r="L97" s="32"/>
    </row>
    <row r="98" spans="1:3" ht="12.75">
      <c r="A98" t="s">
        <v>153</v>
      </c>
      <c r="B98">
        <f>SUM(B95:B97)</f>
        <v>6</v>
      </c>
      <c r="C98">
        <f>SUM(C95:C97)</f>
        <v>8</v>
      </c>
    </row>
    <row r="100" spans="1:6" ht="12.75">
      <c r="A100" s="5"/>
      <c r="F100" s="16">
        <f>Entry!B12</f>
        <v>39022</v>
      </c>
    </row>
    <row r="101" spans="1:6" ht="12.75">
      <c r="A101" s="9">
        <f>Principal!H25</f>
        <v>11159.380000000001</v>
      </c>
      <c r="B101" t="s">
        <v>154</v>
      </c>
      <c r="F101" s="17">
        <f>DATEVALUE(CONCATENATE("01/01/",TEXT(YEAR(F100)+1,"####")))</f>
        <v>39083</v>
      </c>
    </row>
    <row r="102" spans="1:6" ht="12.75">
      <c r="A102" s="19">
        <f>F102/365</f>
        <v>0.16712328767123288</v>
      </c>
      <c r="B102" t="s">
        <v>155</v>
      </c>
      <c r="F102">
        <f>+F101-F100</f>
        <v>61</v>
      </c>
    </row>
  </sheetData>
  <sheetProtection/>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F25"/>
  <sheetViews>
    <sheetView zoomScalePageLayoutView="0" workbookViewId="0" topLeftCell="A1">
      <selection activeCell="D11" sqref="D11"/>
    </sheetView>
  </sheetViews>
  <sheetFormatPr defaultColWidth="9.140625" defaultRowHeight="12.75"/>
  <cols>
    <col min="1" max="1" width="10.57421875" style="0" customWidth="1"/>
    <col min="2" max="2" width="19.140625" style="0" customWidth="1"/>
    <col min="3" max="3" width="14.00390625" style="0" customWidth="1"/>
    <col min="4" max="4" width="12.8515625" style="0" customWidth="1"/>
    <col min="5" max="5" width="11.28125" style="0" customWidth="1"/>
  </cols>
  <sheetData>
    <row r="2" ht="12.75">
      <c r="A2" t="s">
        <v>156</v>
      </c>
    </row>
    <row r="3" spans="1:2" ht="12.75">
      <c r="A3">
        <v>1</v>
      </c>
      <c r="B3" t="s">
        <v>157</v>
      </c>
    </row>
    <row r="4" spans="1:2" ht="12.75">
      <c r="A4">
        <v>2</v>
      </c>
      <c r="B4" t="s">
        <v>158</v>
      </c>
    </row>
    <row r="5" spans="1:2" ht="12.75">
      <c r="A5">
        <v>3</v>
      </c>
      <c r="B5" t="s">
        <v>159</v>
      </c>
    </row>
    <row r="6" spans="1:2" ht="12.75">
      <c r="A6">
        <v>4</v>
      </c>
      <c r="B6" t="s">
        <v>160</v>
      </c>
    </row>
    <row r="7" spans="1:2" ht="12.75">
      <c r="A7">
        <v>5</v>
      </c>
      <c r="B7" t="s">
        <v>161</v>
      </c>
    </row>
    <row r="8" spans="1:2" ht="12.75">
      <c r="A8">
        <v>6</v>
      </c>
      <c r="B8" t="s">
        <v>162</v>
      </c>
    </row>
    <row r="9" spans="1:2" ht="12.75">
      <c r="A9">
        <v>7</v>
      </c>
      <c r="B9" t="s">
        <v>163</v>
      </c>
    </row>
    <row r="10" spans="1:2" ht="12.75">
      <c r="A10">
        <v>8</v>
      </c>
      <c r="B10" t="s">
        <v>164</v>
      </c>
    </row>
    <row r="11" spans="1:2" ht="12.75">
      <c r="A11">
        <v>9</v>
      </c>
      <c r="B11" t="s">
        <v>165</v>
      </c>
    </row>
    <row r="12" spans="1:2" ht="12.75">
      <c r="A12">
        <v>10</v>
      </c>
      <c r="B12" t="s">
        <v>166</v>
      </c>
    </row>
    <row r="13" spans="1:2" ht="12.75">
      <c r="A13">
        <v>11</v>
      </c>
      <c r="B13" t="s">
        <v>167</v>
      </c>
    </row>
    <row r="14" spans="1:2" ht="12.75">
      <c r="A14">
        <v>12</v>
      </c>
      <c r="B14" t="s">
        <v>168</v>
      </c>
    </row>
    <row r="16" spans="1:4" ht="12.75">
      <c r="A16" t="s">
        <v>169</v>
      </c>
      <c r="B16" t="str">
        <f>VLOOKUP(MONTH(Entry!B17),A3:B14,2)</f>
        <v>November</v>
      </c>
      <c r="C16" s="37">
        <f>YEAR(Entry!B17)</f>
        <v>2004</v>
      </c>
      <c r="D16" t="str">
        <f>CONCATENATE(B16," ",C16)</f>
        <v>November 2004</v>
      </c>
    </row>
    <row r="17" spans="1:4" ht="12.75">
      <c r="A17" t="s">
        <v>170</v>
      </c>
      <c r="B17" t="str">
        <f>VLOOKUP(MONTH(Entry!B18),A3:B14,2)</f>
        <v>October</v>
      </c>
      <c r="C17" s="37">
        <f>YEAR(Entry!B18)</f>
        <v>2006</v>
      </c>
      <c r="D17" t="str">
        <f>CONCATENATE(B17," ",C17)</f>
        <v>October 2006</v>
      </c>
    </row>
    <row r="19" spans="1:2" ht="12.75">
      <c r="A19" t="s">
        <v>171</v>
      </c>
      <c r="B19" s="38">
        <f>Entry!B12</f>
        <v>39022</v>
      </c>
    </row>
    <row r="20" spans="1:4" ht="12.75">
      <c r="A20" t="s">
        <v>172</v>
      </c>
      <c r="B20" s="39">
        <f>Entry!B13</f>
        <v>46030.68</v>
      </c>
      <c r="D20" t="str">
        <f>TEXT(B20,"$###,###.00")</f>
        <v>$46,030.68</v>
      </c>
    </row>
    <row r="22" spans="1:2" ht="12.75">
      <c r="A22" t="s">
        <v>173</v>
      </c>
      <c r="B22" s="37">
        <f>Entry!B14</f>
        <v>24</v>
      </c>
    </row>
    <row r="23" spans="1:6" ht="12.75">
      <c r="A23" t="s">
        <v>174</v>
      </c>
      <c r="B23" s="9" t="e">
        <f>Entry!#REF!</f>
        <v>#REF!</v>
      </c>
      <c r="C23" s="12"/>
      <c r="D23" t="e">
        <f>TEXT(B23,"$###,###.00")</f>
        <v>#REF!</v>
      </c>
      <c r="F23" s="12"/>
    </row>
    <row r="24" spans="2:5" ht="12.75">
      <c r="B24" s="9" t="e">
        <f>Entry!#REF!</f>
        <v>#REF!</v>
      </c>
      <c r="C24" s="12">
        <f>Entry!E12</f>
        <v>35607.420000000006</v>
      </c>
      <c r="D24" t="e">
        <f>TEXT(B24,"$###,###.00")</f>
        <v>#REF!</v>
      </c>
      <c r="E24" t="str">
        <f>TEXT(C24,"$###,###.00")</f>
        <v>$35,607.42</v>
      </c>
    </row>
    <row r="25" spans="3:5" ht="12.75">
      <c r="C25" s="12">
        <f>Entry!E13</f>
        <v>38188.96</v>
      </c>
      <c r="E25" t="str">
        <f>TEXT(C25,"$###,###.00")</f>
        <v>$38,188.96</v>
      </c>
    </row>
  </sheetData>
  <sheetProtection sheet="1" objects="1" scenarios="1"/>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Gregory Lambert</cp:lastModifiedBy>
  <cp:lastPrinted>2000-08-01T23:05:21Z</cp:lastPrinted>
  <dcterms:created xsi:type="dcterms:W3CDTF">2018-12-26T18:03:00Z</dcterms:created>
  <dcterms:modified xsi:type="dcterms:W3CDTF">2023-12-08T17:25:49Z</dcterms:modified>
  <cp:category/>
  <cp:version/>
  <cp:contentType/>
  <cp:contentStatus/>
</cp:coreProperties>
</file>