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F:\Home\Gregory\Monthly Work\December 2023\"/>
    </mc:Choice>
  </mc:AlternateContent>
  <xr:revisionPtr revIDLastSave="0" documentId="8_{3E8DDF0F-6AAA-441B-B773-0971B173122E}" xr6:coauthVersionLast="47" xr6:coauthVersionMax="47" xr10:uidLastSave="{00000000-0000-0000-0000-000000000000}"/>
  <bookViews>
    <workbookView xWindow="-26040" yWindow="225" windowWidth="20490" windowHeight="15180" firstSheet="2" activeTab="2" xr2:uid="{00000000-000D-0000-FFFF-FFFF00000000}"/>
  </bookViews>
  <sheets>
    <sheet name="PV Factor old" sheetId="9" state="hidden" r:id="rId1"/>
    <sheet name="calcs" sheetId="3" state="hidden" r:id="rId2"/>
    <sheet name="Entry" sheetId="4" r:id="rId3"/>
    <sheet name="Rate Change" sheetId="5" r:id="rId4"/>
    <sheet name="pv factors 2019" sheetId="10" state="hidden" r:id="rId5"/>
    <sheet name="pv factors" sheetId="2" state="hidden" r:id="rId6"/>
    <sheet name="Funding Fctr" sheetId="6" state="hidden" r:id="rId7"/>
  </sheets>
  <definedNames>
    <definedName name="_xlnm.Print_Area" localSheetId="3">'Rate Change'!$A$1:$E$42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6" l="1"/>
  <c r="B2" i="6" s="1"/>
  <c r="H8" i="4"/>
  <c r="N8" i="4" s="1"/>
  <c r="B9" i="3"/>
  <c r="E9" i="3"/>
  <c r="F9" i="3"/>
  <c r="G9" i="3"/>
  <c r="M8" i="4"/>
  <c r="H9" i="4"/>
  <c r="N9" i="4"/>
  <c r="B10" i="3"/>
  <c r="E10" i="3"/>
  <c r="F10" i="3"/>
  <c r="G10" i="3"/>
  <c r="M9" i="4"/>
  <c r="H10" i="4"/>
  <c r="A11" i="3" s="1"/>
  <c r="B11" i="3"/>
  <c r="E11" i="3"/>
  <c r="F11" i="3"/>
  <c r="G11" i="3"/>
  <c r="M10" i="4"/>
  <c r="N10" i="4"/>
  <c r="H11" i="4"/>
  <c r="A12" i="3"/>
  <c r="B12" i="3"/>
  <c r="E12" i="3"/>
  <c r="F12" i="3"/>
  <c r="G12" i="3"/>
  <c r="M11" i="4"/>
  <c r="H12" i="4"/>
  <c r="N12" i="4" s="1"/>
  <c r="B13" i="3"/>
  <c r="E13" i="3"/>
  <c r="F13" i="3"/>
  <c r="G13" i="3"/>
  <c r="M12" i="4"/>
  <c r="H13" i="4"/>
  <c r="N13" i="4" s="1"/>
  <c r="B14" i="3"/>
  <c r="E14" i="3"/>
  <c r="F14" i="3"/>
  <c r="G14" i="3"/>
  <c r="M13" i="4"/>
  <c r="H14" i="4"/>
  <c r="N14" i="4"/>
  <c r="A15" i="3"/>
  <c r="C15" i="3" s="1"/>
  <c r="D15" i="3" s="1"/>
  <c r="H15" i="3" s="1"/>
  <c r="I15" i="3" s="1"/>
  <c r="B15" i="3"/>
  <c r="E15" i="3"/>
  <c r="F15" i="3"/>
  <c r="G15" i="3"/>
  <c r="M14" i="4"/>
  <c r="J15" i="3" s="1"/>
  <c r="K15" i="3" s="1"/>
  <c r="L15" i="3" s="1"/>
  <c r="H15" i="4"/>
  <c r="N15" i="4" s="1"/>
  <c r="B16" i="3"/>
  <c r="E16" i="3"/>
  <c r="F16" i="3"/>
  <c r="G16" i="3"/>
  <c r="M15" i="4"/>
  <c r="H16" i="4"/>
  <c r="A17" i="3" s="1"/>
  <c r="B17" i="3"/>
  <c r="E17" i="3"/>
  <c r="F17" i="3"/>
  <c r="G17" i="3"/>
  <c r="M16" i="4"/>
  <c r="H17" i="4"/>
  <c r="N17" i="4" s="1"/>
  <c r="B18" i="3"/>
  <c r="E18" i="3"/>
  <c r="F18" i="3"/>
  <c r="G18" i="3"/>
  <c r="M17" i="4"/>
  <c r="H18" i="4"/>
  <c r="A19" i="3" s="1"/>
  <c r="B19" i="3"/>
  <c r="E19" i="3"/>
  <c r="F19" i="3"/>
  <c r="G19" i="3"/>
  <c r="M18" i="4"/>
  <c r="H19" i="4"/>
  <c r="N19" i="4" s="1"/>
  <c r="B20" i="3"/>
  <c r="E20" i="3"/>
  <c r="F20" i="3"/>
  <c r="G20" i="3"/>
  <c r="M19" i="4"/>
  <c r="H20" i="4"/>
  <c r="N20" i="4" s="1"/>
  <c r="J21" i="3" s="1"/>
  <c r="B21" i="3"/>
  <c r="E21" i="3"/>
  <c r="F21" i="3"/>
  <c r="G21" i="3"/>
  <c r="M20" i="4"/>
  <c r="H21" i="4"/>
  <c r="A22" i="3" s="1"/>
  <c r="B22" i="3"/>
  <c r="E22" i="3"/>
  <c r="F22" i="3"/>
  <c r="G22" i="3"/>
  <c r="M21" i="4"/>
  <c r="H22" i="4"/>
  <c r="N22" i="4" s="1"/>
  <c r="A23" i="3"/>
  <c r="C23" i="3" s="1"/>
  <c r="D23" i="3" s="1"/>
  <c r="B23" i="3"/>
  <c r="E23" i="3"/>
  <c r="F23" i="3"/>
  <c r="H23" i="3" s="1"/>
  <c r="G23" i="3"/>
  <c r="M22" i="4"/>
  <c r="H23" i="4"/>
  <c r="A24" i="3" s="1"/>
  <c r="B24" i="3"/>
  <c r="E24" i="3"/>
  <c r="F24" i="3"/>
  <c r="G24" i="3"/>
  <c r="M23" i="4"/>
  <c r="H24" i="4"/>
  <c r="A25" i="3" s="1"/>
  <c r="B25" i="3"/>
  <c r="E25" i="3"/>
  <c r="F25" i="3"/>
  <c r="G25" i="3"/>
  <c r="M24" i="4"/>
  <c r="H25" i="4"/>
  <c r="A26" i="3" s="1"/>
  <c r="N25" i="4"/>
  <c r="B26" i="3"/>
  <c r="E26" i="3"/>
  <c r="F26" i="3"/>
  <c r="G26" i="3"/>
  <c r="M25" i="4"/>
  <c r="H26" i="4"/>
  <c r="N26" i="4" s="1"/>
  <c r="B27" i="3"/>
  <c r="E27" i="3"/>
  <c r="F27" i="3"/>
  <c r="G27" i="3"/>
  <c r="M26" i="4"/>
  <c r="A1" i="4"/>
  <c r="J9" i="4"/>
  <c r="K9" i="4" s="1"/>
  <c r="J10" i="4"/>
  <c r="K10" i="4" s="1"/>
  <c r="J11" i="4"/>
  <c r="K11" i="4" s="1"/>
  <c r="J12" i="4"/>
  <c r="K12" i="4" s="1"/>
  <c r="J13" i="4"/>
  <c r="K13" i="4" s="1"/>
  <c r="J14" i="4"/>
  <c r="K14" i="4" s="1"/>
  <c r="J15" i="4"/>
  <c r="K15" i="4" s="1"/>
  <c r="J16" i="4"/>
  <c r="K16" i="4" s="1"/>
  <c r="J17" i="4"/>
  <c r="K17" i="4" s="1"/>
  <c r="J18" i="4"/>
  <c r="K18" i="4" s="1"/>
  <c r="J19" i="4"/>
  <c r="K19" i="4" s="1"/>
  <c r="J20" i="4"/>
  <c r="K20" i="4" s="1"/>
  <c r="J21" i="4"/>
  <c r="K21" i="4" s="1"/>
  <c r="J22" i="4"/>
  <c r="K22" i="4" s="1"/>
  <c r="J23" i="4"/>
  <c r="K23" i="4" s="1"/>
  <c r="J24" i="4"/>
  <c r="K24" i="4" s="1"/>
  <c r="J25" i="4"/>
  <c r="K25" i="4" s="1"/>
  <c r="J26" i="4"/>
  <c r="K26" i="4" s="1"/>
  <c r="F28" i="4"/>
  <c r="C34" i="5"/>
  <c r="A18" i="3"/>
  <c r="A14" i="3"/>
  <c r="N11" i="4"/>
  <c r="A10" i="3"/>
  <c r="C10" i="3" s="1"/>
  <c r="D10" i="3" s="1"/>
  <c r="H10" i="3" s="1"/>
  <c r="N21" i="4"/>
  <c r="A21" i="3"/>
  <c r="C21" i="3" s="1"/>
  <c r="D21" i="3" s="1"/>
  <c r="H21" i="3" s="1"/>
  <c r="N18" i="4"/>
  <c r="N24" i="4"/>
  <c r="C11" i="3" l="1"/>
  <c r="D11" i="3" s="1"/>
  <c r="C26" i="3"/>
  <c r="D26" i="3" s="1"/>
  <c r="H26" i="3" s="1"/>
  <c r="I26" i="3"/>
  <c r="J26" i="3"/>
  <c r="H17" i="3"/>
  <c r="I17" i="3" s="1"/>
  <c r="J10" i="3"/>
  <c r="K10" i="3" s="1"/>
  <c r="L10" i="3" s="1"/>
  <c r="C25" i="3"/>
  <c r="D25" i="3" s="1"/>
  <c r="H25" i="3" s="1"/>
  <c r="I25" i="3" s="1"/>
  <c r="C17" i="3"/>
  <c r="D17" i="3" s="1"/>
  <c r="C22" i="3"/>
  <c r="D22" i="3" s="1"/>
  <c r="H22" i="3" s="1"/>
  <c r="I22" i="3" s="1"/>
  <c r="J11" i="3"/>
  <c r="J22" i="3"/>
  <c r="K21" i="3"/>
  <c r="L21" i="3" s="1"/>
  <c r="C19" i="3"/>
  <c r="D19" i="3" s="1"/>
  <c r="H19" i="3" s="1"/>
  <c r="I19" i="3" s="1"/>
  <c r="H11" i="3"/>
  <c r="I11" i="3" s="1"/>
  <c r="C24" i="3"/>
  <c r="D24" i="3" s="1"/>
  <c r="H24" i="3" s="1"/>
  <c r="I24" i="3"/>
  <c r="J23" i="3"/>
  <c r="A16" i="3"/>
  <c r="A20" i="3"/>
  <c r="N16" i="4"/>
  <c r="J17" i="3" s="1"/>
  <c r="I23" i="3"/>
  <c r="C18" i="3"/>
  <c r="D18" i="3" s="1"/>
  <c r="H18" i="3" s="1"/>
  <c r="I18" i="3" s="1"/>
  <c r="N23" i="4"/>
  <c r="J24" i="3" s="1"/>
  <c r="K24" i="3" s="1"/>
  <c r="L24" i="3" s="1"/>
  <c r="A27" i="3"/>
  <c r="I21" i="3"/>
  <c r="A13" i="3"/>
  <c r="A9" i="3"/>
  <c r="C14" i="3"/>
  <c r="D14" i="3" s="1"/>
  <c r="H14" i="3" s="1"/>
  <c r="I14" i="3" s="1"/>
  <c r="I10" i="3"/>
  <c r="C12" i="3"/>
  <c r="D12" i="3" s="1"/>
  <c r="H12" i="3" s="1"/>
  <c r="I12" i="3" s="1"/>
  <c r="F2" i="6"/>
  <c r="I2" i="6" s="1"/>
  <c r="A12" i="6" s="1"/>
  <c r="B11" i="5" s="1"/>
  <c r="E1" i="6"/>
  <c r="A13" i="6" s="1"/>
  <c r="B34" i="5" s="1"/>
  <c r="B5" i="6"/>
  <c r="B4" i="6"/>
  <c r="C31" i="5" s="1"/>
  <c r="F1" i="6"/>
  <c r="I1" i="6" s="1"/>
  <c r="B3" i="6"/>
  <c r="C3" i="6" s="1"/>
  <c r="K26" i="3" l="1"/>
  <c r="L26" i="3" s="1"/>
  <c r="K17" i="3"/>
  <c r="L17" i="3" s="1"/>
  <c r="J19" i="3"/>
  <c r="K19" i="3" s="1"/>
  <c r="L19" i="3" s="1"/>
  <c r="C27" i="3"/>
  <c r="J25" i="3"/>
  <c r="K25" i="3" s="1"/>
  <c r="L25" i="3" s="1"/>
  <c r="K11" i="3"/>
  <c r="L11" i="3" s="1"/>
  <c r="C16" i="3"/>
  <c r="C20" i="3"/>
  <c r="K23" i="3"/>
  <c r="L23" i="3" s="1"/>
  <c r="J12" i="3"/>
  <c r="K12" i="3" s="1"/>
  <c r="L12" i="3" s="1"/>
  <c r="K22" i="3"/>
  <c r="L22" i="3" s="1"/>
  <c r="C9" i="3"/>
  <c r="C13" i="3"/>
  <c r="J14" i="3"/>
  <c r="K14" i="3" s="1"/>
  <c r="L14" i="3" s="1"/>
  <c r="J18" i="3"/>
  <c r="K18" i="3" s="1"/>
  <c r="L18" i="3" s="1"/>
  <c r="F3" i="6"/>
  <c r="B22" i="5"/>
  <c r="G2" i="6"/>
  <c r="A5" i="5" s="1"/>
  <c r="B6" i="6"/>
  <c r="C6" i="6" s="1"/>
  <c r="A11" i="6" s="1"/>
  <c r="B8" i="5" s="1"/>
  <c r="C5" i="6"/>
  <c r="C8" i="5"/>
  <c r="A10" i="6"/>
  <c r="B31" i="5" s="1"/>
  <c r="B26" i="5"/>
  <c r="A8" i="6"/>
  <c r="B36" i="5"/>
  <c r="B27" i="5"/>
  <c r="B23" i="5"/>
  <c r="D9" i="3" l="1"/>
  <c r="H9" i="3" s="1"/>
  <c r="I9" i="3" s="1"/>
  <c r="J9" i="3"/>
  <c r="D20" i="3"/>
  <c r="H20" i="3" s="1"/>
  <c r="I20" i="3" s="1"/>
  <c r="J20" i="3"/>
  <c r="D16" i="3"/>
  <c r="H16" i="3" s="1"/>
  <c r="I16" i="3" s="1"/>
  <c r="J16" i="3"/>
  <c r="K16" i="3" s="1"/>
  <c r="L16" i="3" s="1"/>
  <c r="D27" i="3"/>
  <c r="H27" i="3" s="1"/>
  <c r="I27" i="3" s="1"/>
  <c r="J27" i="3"/>
  <c r="D13" i="3"/>
  <c r="H13" i="3" s="1"/>
  <c r="I13" i="3" s="1"/>
  <c r="J13" i="3"/>
  <c r="K13" i="3" s="1"/>
  <c r="L13" i="3" s="1"/>
  <c r="B13" i="5"/>
  <c r="B17" i="5"/>
  <c r="K9" i="3" l="1"/>
  <c r="L9" i="3" s="1"/>
  <c r="J8" i="4" s="1"/>
  <c r="K8" i="4" s="1"/>
  <c r="K28" i="4" s="1"/>
  <c r="C7" i="5" s="1"/>
  <c r="K20" i="3"/>
  <c r="L20" i="3" s="1"/>
  <c r="K27" i="3"/>
  <c r="L27" i="3" s="1"/>
  <c r="J28" i="4" l="1"/>
  <c r="C30" i="5"/>
  <c r="C32" i="5" s="1"/>
  <c r="C37" i="5" s="1"/>
  <c r="C38" i="5" s="1"/>
  <c r="C9" i="5"/>
  <c r="C14" i="5" s="1"/>
  <c r="C15" i="5" s="1"/>
  <c r="C18" i="5" s="1"/>
  <c r="C19" i="5" s="1"/>
  <c r="C20" i="5" s="1"/>
</calcChain>
</file>

<file path=xl/sharedStrings.xml><?xml version="1.0" encoding="utf-8"?>
<sst xmlns="http://schemas.openxmlformats.org/spreadsheetml/2006/main" count="206" uniqueCount="126">
  <si>
    <t>To estimate the effect on the employer contribution rate, enter all of the applicable members above and then click on the "Rate Change" tab</t>
  </si>
  <si>
    <t>Estimated rate with purchase of military service</t>
  </si>
  <si>
    <t>Age</t>
  </si>
  <si>
    <t>Factor</t>
  </si>
  <si>
    <t>Annuity Factors</t>
  </si>
  <si>
    <t>Male</t>
  </si>
  <si>
    <t>Female</t>
  </si>
  <si>
    <t>male</t>
  </si>
  <si>
    <t>Eco</t>
  </si>
  <si>
    <t>Curr</t>
  </si>
  <si>
    <t xml:space="preserve">Curr  </t>
  </si>
  <si>
    <t>Earliest</t>
  </si>
  <si>
    <t>Proj</t>
  </si>
  <si>
    <t>Mths</t>
  </si>
  <si>
    <t>Current</t>
  </si>
  <si>
    <t>Salary</t>
  </si>
  <si>
    <t>Projected</t>
  </si>
  <si>
    <t>Mthly Bft</t>
  </si>
  <si>
    <t>Retmt</t>
  </si>
  <si>
    <t>Plan</t>
  </si>
  <si>
    <t>Ret Age</t>
  </si>
  <si>
    <t>Years</t>
  </si>
  <si>
    <t>Mil</t>
  </si>
  <si>
    <t>Growth</t>
  </si>
  <si>
    <t>Change</t>
  </si>
  <si>
    <t xml:space="preserve">  purchasing military Service</t>
  </si>
  <si>
    <t>(A)</t>
  </si>
  <si>
    <t>(B)</t>
  </si>
  <si>
    <t>Mbr's</t>
  </si>
  <si>
    <t xml:space="preserve">Member's </t>
  </si>
  <si>
    <t>Numbr</t>
  </si>
  <si>
    <t>Estimated cost</t>
  </si>
  <si>
    <t>Military</t>
  </si>
  <si>
    <t>of Mths</t>
  </si>
  <si>
    <t xml:space="preserve">(R)eg or </t>
  </si>
  <si>
    <t>of increased</t>
  </si>
  <si>
    <t>Cost</t>
  </si>
  <si>
    <t>3=ec0</t>
  </si>
  <si>
    <t>Member Name</t>
  </si>
  <si>
    <t>Annual Salary</t>
  </si>
  <si>
    <t>Rate</t>
  </si>
  <si>
    <t>Buying</t>
  </si>
  <si>
    <t>(S)LEP</t>
  </si>
  <si>
    <t>Benefit</t>
  </si>
  <si>
    <t>(B) - (A)</t>
  </si>
  <si>
    <t>Sex</t>
  </si>
  <si>
    <t>1 = other</t>
  </si>
  <si>
    <t>S</t>
  </si>
  <si>
    <t>FV of</t>
  </si>
  <si>
    <t>Mil Svc</t>
  </si>
  <si>
    <t>PV of</t>
  </si>
  <si>
    <t>M</t>
  </si>
  <si>
    <t>F</t>
  </si>
  <si>
    <t>E</t>
  </si>
  <si>
    <t>A</t>
  </si>
  <si>
    <t>Reg</t>
  </si>
  <si>
    <t>SLEP</t>
  </si>
  <si>
    <t>ECO</t>
  </si>
  <si>
    <t>ECO SLEP</t>
  </si>
  <si>
    <t>Service</t>
  </si>
  <si>
    <t>Type</t>
  </si>
  <si>
    <r>
      <t xml:space="preserve">Spreadsheet to </t>
    </r>
    <r>
      <rPr>
        <b/>
        <sz val="12"/>
        <rFont val="Arial"/>
        <family val="2"/>
      </rPr>
      <t>estimate</t>
    </r>
    <r>
      <rPr>
        <sz val="10"/>
        <rFont val="Arial"/>
        <family val="2"/>
      </rPr>
      <t xml:space="preserve"> employer cost for members</t>
    </r>
  </si>
  <si>
    <t>mil</t>
  </si>
  <si>
    <t>Employer</t>
  </si>
  <si>
    <t>Estimated</t>
  </si>
  <si>
    <t xml:space="preserve">  T O T A L S</t>
  </si>
  <si>
    <t>NOTE: This spreadsheet requires Microsoft Office 97 or newer. Previous versions may not calculate correctly.</t>
  </si>
  <si>
    <t>R</t>
  </si>
  <si>
    <t>Calculation to estimate annual funding and change to the</t>
  </si>
  <si>
    <t xml:space="preserve">employer contribution rate.  </t>
  </si>
  <si>
    <t>Estimated Employer Military Cost</t>
  </si>
  <si>
    <t xml:space="preserve">  (See note below)</t>
  </si>
  <si>
    <t>(C)</t>
  </si>
  <si>
    <t>= Annual funding  (line A * line B)</t>
  </si>
  <si>
    <t>(D)</t>
  </si>
  <si>
    <t>(E)</t>
  </si>
  <si>
    <t>(line C / line D)</t>
  </si>
  <si>
    <t>(shown as a percent)</t>
  </si>
  <si>
    <t>plus addl for military</t>
  </si>
  <si>
    <t>rounded to 2 decimal points</t>
  </si>
  <si>
    <t>(A2)</t>
  </si>
  <si>
    <t>(B2)</t>
  </si>
  <si>
    <t>(C2)</t>
  </si>
  <si>
    <t>= Annual funding  (line A2 * line B2)</t>
  </si>
  <si>
    <t>(D2)</t>
  </si>
  <si>
    <t>(E2)</t>
  </si>
  <si>
    <t>(line C2 / line D2)</t>
  </si>
  <si>
    <t xml:space="preserve">NOTE: </t>
  </si>
  <si>
    <t xml:space="preserve">Instrumentalities, units of government without taxing authority and </t>
  </si>
  <si>
    <t>overfunded employers use a different amortization period.</t>
  </si>
  <si>
    <t>System Year</t>
  </si>
  <si>
    <t>Print year</t>
  </si>
  <si>
    <t>Funding Period</t>
  </si>
  <si>
    <t>Funding Factor</t>
  </si>
  <si>
    <t>old funding period</t>
  </si>
  <si>
    <t>old funding factor</t>
  </si>
  <si>
    <t>Print</t>
  </si>
  <si>
    <t xml:space="preserve">Funding </t>
  </si>
  <si>
    <t>Year</t>
  </si>
  <si>
    <t>Period</t>
  </si>
  <si>
    <t>Error</t>
  </si>
  <si>
    <t>2014</t>
  </si>
  <si>
    <t>2015</t>
  </si>
  <si>
    <t>2016</t>
  </si>
  <si>
    <t>2017</t>
  </si>
  <si>
    <t>2018</t>
  </si>
  <si>
    <t>2019</t>
  </si>
  <si>
    <t>2020</t>
  </si>
  <si>
    <t>2021</t>
  </si>
  <si>
    <t>2022</t>
  </si>
  <si>
    <t>2023</t>
  </si>
  <si>
    <t>2024</t>
  </si>
  <si>
    <t>2025</t>
  </si>
  <si>
    <t>2026</t>
  </si>
  <si>
    <t>2027</t>
  </si>
  <si>
    <t>2028</t>
  </si>
  <si>
    <t>2029</t>
  </si>
  <si>
    <t>2030</t>
  </si>
  <si>
    <t>Taxing Bodies</t>
  </si>
  <si>
    <t>The employer is</t>
  </si>
  <si>
    <t>a taxing body</t>
  </si>
  <si>
    <t>1b</t>
  </si>
  <si>
    <t>3c</t>
  </si>
  <si>
    <t xml:space="preserve">The employer cost estimates assume that the employer pays that amount in the current year which is then credited each year based on the long term investment return of 7.25% until the assumed retirement date. For actual funding, the estimated cost is not billed to the employer but rather becomes part of the actuarial funding process. </t>
  </si>
  <si>
    <r>
      <t xml:space="preserve">This spreadsheet is for </t>
    </r>
    <r>
      <rPr>
        <b/>
        <sz val="12"/>
        <rFont val="Arial"/>
        <family val="2"/>
      </rPr>
      <t>estimating</t>
    </r>
    <r>
      <rPr>
        <sz val="10"/>
        <rFont val="Arial"/>
        <family val="2"/>
      </rPr>
      <t xml:space="preserve"> employer costs. The actual cost can only be determined when an employee retires. In order to make the spreadsheet "easy to use", we had to make certain assumptions that may be incorrect for your members.  For example, we assume that the member will only work until the earliest retirement age (age 50 for SLEP and 55 for non-SLEP) or current age if over that age. During the time the member is working, the member will receive annual pay increases but no promotions.  (IMRF uses 3.25% annual pay increases based on reviews of all employers.)  You can change this percent for each member as you see fit. We also assume that the benefit increase is 2% per year of service for regular members, 2½% per year for SLEP members and 5% per year for ECO and ECO SLEP members.</t>
    </r>
  </si>
  <si>
    <t xml:space="preserve">Assuming a 3.25% annual increase in payroll and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</si>
</sst>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000_);_(* \(#,##0.00000\);_(* &quot;-&quot;??_);_(@_)"/>
    <numFmt numFmtId="165" formatCode="0.0000%"/>
    <numFmt numFmtId="166" formatCode="_(* #,##0.000000_);_(* \(#,##0.000000\);_(* &quot;-&quot;??_);_(@_)"/>
  </numFmts>
  <fonts count="13" x14ac:knownFonts="1">
    <font>
      <sz val="10"/>
      <name val="Arial"/>
    </font>
    <font>
      <sz val="10"/>
      <name val="Arial"/>
      <family val="2"/>
    </font>
    <font>
      <b/>
      <sz val="10"/>
      <name val="Arial Rounded MT Bold"/>
      <family val="2"/>
    </font>
    <font>
      <sz val="10"/>
      <color indexed="39"/>
      <name val="Arial"/>
      <family val="2"/>
    </font>
    <font>
      <sz val="10"/>
      <color indexed="12"/>
      <name val="Arial"/>
      <family val="2"/>
    </font>
    <font>
      <b/>
      <sz val="10"/>
      <color indexed="9"/>
      <name val="Arial"/>
      <family val="2"/>
    </font>
    <font>
      <b/>
      <sz val="10"/>
      <name val="Arial"/>
      <family val="2"/>
    </font>
    <font>
      <sz val="10"/>
      <name val="Arial"/>
      <family val="2"/>
    </font>
    <font>
      <b/>
      <sz val="12"/>
      <name val="Arial"/>
      <family val="2"/>
    </font>
    <font>
      <sz val="10"/>
      <color indexed="9"/>
      <name val="Arial"/>
      <family val="2"/>
    </font>
    <font>
      <b/>
      <sz val="10"/>
      <color indexed="9"/>
      <name val="Arial"/>
      <family val="2"/>
    </font>
    <font>
      <b/>
      <sz val="12"/>
      <name val="Arial"/>
      <family val="2"/>
    </font>
    <font>
      <b/>
      <sz val="14"/>
      <name val="Arial"/>
      <family val="2"/>
    </font>
  </fonts>
  <fills count="7">
    <fill>
      <patternFill patternType="none"/>
    </fill>
    <fill>
      <patternFill patternType="gray125"/>
    </fill>
    <fill>
      <patternFill patternType="solid">
        <fgColor indexed="12"/>
        <bgColor indexed="64"/>
      </patternFill>
    </fill>
    <fill>
      <patternFill patternType="solid">
        <fgColor indexed="26"/>
        <bgColor indexed="26"/>
      </patternFill>
    </fill>
    <fill>
      <patternFill patternType="solid">
        <fgColor indexed="8"/>
        <bgColor indexed="64"/>
      </patternFill>
    </fill>
    <fill>
      <patternFill patternType="solid">
        <fgColor indexed="26"/>
        <bgColor indexed="64"/>
      </patternFill>
    </fill>
    <fill>
      <patternFill patternType="solid">
        <fgColor rgb="FFFFFFCC"/>
        <bgColor indexed="64"/>
      </patternFill>
    </fill>
  </fills>
  <borders count="14">
    <border>
      <left/>
      <right/>
      <top/>
      <bottom/>
      <diagonal/>
    </border>
    <border>
      <left/>
      <right/>
      <top/>
      <bottom style="thin">
        <color indexed="64"/>
      </bottom>
      <diagonal/>
    </border>
    <border>
      <left/>
      <right style="medium">
        <color indexed="9"/>
      </right>
      <top/>
      <bottom/>
      <diagonal/>
    </border>
    <border>
      <left style="medium">
        <color indexed="9"/>
      </left>
      <right style="medium">
        <color indexed="9"/>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43" fontId="0" fillId="0" borderId="0" xfId="1" applyFont="1"/>
    <xf numFmtId="43" fontId="0" fillId="0" borderId="0" xfId="1" applyFont="1" applyAlignment="1">
      <alignment horizontal="center"/>
    </xf>
    <xf numFmtId="43" fontId="0" fillId="0" borderId="1" xfId="1" applyFont="1" applyBorder="1" applyAlignment="1">
      <alignment horizontal="center"/>
    </xf>
    <xf numFmtId="0" fontId="0" fillId="0" borderId="0" xfId="0" applyAlignment="1">
      <alignment horizontal="center"/>
    </xf>
    <xf numFmtId="0" fontId="0" fillId="0" borderId="1" xfId="0" applyBorder="1" applyAlignment="1">
      <alignment horizontal="center"/>
    </xf>
    <xf numFmtId="0" fontId="1" fillId="0" borderId="0" xfId="0" applyFont="1" applyAlignment="1">
      <alignment horizontal="center"/>
    </xf>
    <xf numFmtId="0" fontId="2" fillId="0" borderId="0" xfId="0" applyFont="1" applyAlignment="1">
      <alignment horizontal="center"/>
    </xf>
    <xf numFmtId="43" fontId="3" fillId="0" borderId="0" xfId="1" applyFont="1" applyProtection="1">
      <protection locked="0"/>
    </xf>
    <xf numFmtId="0" fontId="3" fillId="0" borderId="0" xfId="0" applyFont="1" applyAlignment="1" applyProtection="1">
      <alignment horizontal="center"/>
      <protection locked="0"/>
    </xf>
    <xf numFmtId="43" fontId="3" fillId="0" borderId="0" xfId="1" applyFont="1" applyAlignment="1" applyProtection="1">
      <alignment horizontal="center"/>
      <protection locked="0"/>
    </xf>
    <xf numFmtId="0" fontId="4" fillId="0" borderId="0" xfId="0" applyFont="1" applyProtection="1">
      <protection locked="0"/>
    </xf>
    <xf numFmtId="43" fontId="0" fillId="0" borderId="0" xfId="0" applyNumberFormat="1"/>
    <xf numFmtId="10" fontId="0" fillId="0" borderId="0" xfId="0" applyNumberFormat="1"/>
    <xf numFmtId="0" fontId="5" fillId="2" borderId="2" xfId="0" applyFont="1" applyFill="1" applyBorder="1"/>
    <xf numFmtId="0" fontId="5" fillId="2" borderId="3" xfId="0" applyFont="1" applyFill="1" applyBorder="1"/>
    <xf numFmtId="43" fontId="5" fillId="2" borderId="3" xfId="1" applyFont="1" applyFill="1" applyBorder="1"/>
    <xf numFmtId="2" fontId="0" fillId="0" borderId="0" xfId="0" applyNumberFormat="1"/>
    <xf numFmtId="0" fontId="6" fillId="0" borderId="0" xfId="0" applyFont="1"/>
    <xf numFmtId="43" fontId="0" fillId="0" borderId="0" xfId="1" applyFont="1" applyFill="1" applyBorder="1" applyAlignment="1">
      <alignment horizontal="center"/>
    </xf>
    <xf numFmtId="14" fontId="0" fillId="0" borderId="0" xfId="0" applyNumberFormat="1" applyAlignment="1">
      <alignment horizontal="left"/>
    </xf>
    <xf numFmtId="0" fontId="9" fillId="0" borderId="0" xfId="0" applyFont="1"/>
    <xf numFmtId="43" fontId="0" fillId="0" borderId="4" xfId="1" applyFont="1" applyBorder="1"/>
    <xf numFmtId="43" fontId="0" fillId="0" borderId="5" xfId="1" applyFont="1" applyBorder="1"/>
    <xf numFmtId="43" fontId="0" fillId="0" borderId="6" xfId="1" applyFont="1" applyBorder="1"/>
    <xf numFmtId="43" fontId="0" fillId="0" borderId="7" xfId="1" applyFont="1" applyBorder="1"/>
    <xf numFmtId="43" fontId="0" fillId="0" borderId="8" xfId="1" applyFont="1" applyBorder="1"/>
    <xf numFmtId="43" fontId="0" fillId="0" borderId="9" xfId="1" applyFont="1" applyBorder="1"/>
    <xf numFmtId="0" fontId="1" fillId="3" borderId="10" xfId="0" applyFont="1" applyFill="1" applyBorder="1" applyProtection="1">
      <protection locked="0"/>
    </xf>
    <xf numFmtId="0" fontId="1" fillId="3" borderId="4" xfId="0" applyFont="1" applyFill="1" applyBorder="1" applyProtection="1">
      <protection locked="0"/>
    </xf>
    <xf numFmtId="43" fontId="1" fillId="3" borderId="4" xfId="1" applyFont="1" applyFill="1" applyBorder="1" applyProtection="1">
      <protection locked="0"/>
    </xf>
    <xf numFmtId="10" fontId="1" fillId="3" borderId="4" xfId="2" applyNumberFormat="1" applyFont="1" applyFill="1" applyBorder="1" applyProtection="1">
      <protection locked="0"/>
    </xf>
    <xf numFmtId="43" fontId="7" fillId="3" borderId="4" xfId="1" applyFont="1" applyFill="1" applyBorder="1" applyAlignment="1" applyProtection="1">
      <alignment horizontal="center"/>
    </xf>
    <xf numFmtId="43" fontId="7" fillId="3" borderId="4" xfId="1" applyFont="1" applyFill="1" applyBorder="1" applyAlignment="1" applyProtection="1">
      <alignment horizontal="center"/>
      <protection locked="0"/>
    </xf>
    <xf numFmtId="0" fontId="1" fillId="3" borderId="11" xfId="0" applyFont="1" applyFill="1" applyBorder="1" applyProtection="1">
      <protection locked="0"/>
    </xf>
    <xf numFmtId="0" fontId="1" fillId="3" borderId="6" xfId="0" applyFont="1" applyFill="1" applyBorder="1" applyProtection="1">
      <protection locked="0"/>
    </xf>
    <xf numFmtId="43" fontId="1" fillId="3" borderId="6" xfId="1" applyFont="1" applyFill="1" applyBorder="1" applyProtection="1">
      <protection locked="0"/>
    </xf>
    <xf numFmtId="10" fontId="1" fillId="3" borderId="6" xfId="2" applyNumberFormat="1" applyFont="1" applyFill="1" applyBorder="1" applyProtection="1">
      <protection locked="0"/>
    </xf>
    <xf numFmtId="0" fontId="1" fillId="3" borderId="6" xfId="0" applyFont="1" applyFill="1" applyBorder="1" applyAlignment="1" applyProtection="1">
      <alignment horizontal="center"/>
      <protection locked="0"/>
    </xf>
    <xf numFmtId="43" fontId="7" fillId="3" borderId="6" xfId="1" applyFont="1" applyFill="1" applyBorder="1" applyAlignment="1" applyProtection="1">
      <alignment horizontal="center"/>
    </xf>
    <xf numFmtId="43" fontId="7" fillId="3" borderId="6" xfId="1" applyFont="1" applyFill="1" applyBorder="1" applyAlignment="1" applyProtection="1">
      <alignment horizontal="center"/>
      <protection locked="0"/>
    </xf>
    <xf numFmtId="43" fontId="1" fillId="3" borderId="8" xfId="1" applyFont="1" applyFill="1" applyBorder="1" applyProtection="1">
      <protection locked="0"/>
    </xf>
    <xf numFmtId="43" fontId="1" fillId="3" borderId="12" xfId="1" applyFont="1" applyFill="1" applyBorder="1" applyProtection="1">
      <protection locked="0"/>
    </xf>
    <xf numFmtId="0" fontId="10" fillId="4" borderId="0" xfId="0" applyFont="1" applyFill="1"/>
    <xf numFmtId="0" fontId="0" fillId="0" borderId="1" xfId="0" applyBorder="1"/>
    <xf numFmtId="43" fontId="0" fillId="0" borderId="1" xfId="1" applyFont="1" applyBorder="1"/>
    <xf numFmtId="0" fontId="8" fillId="0" borderId="0" xfId="0" applyFont="1"/>
    <xf numFmtId="43" fontId="0" fillId="0" borderId="0" xfId="1" applyFont="1" applyAlignment="1">
      <alignment horizontal="left"/>
    </xf>
    <xf numFmtId="0" fontId="1" fillId="3" borderId="13" xfId="0" applyFont="1" applyFill="1" applyBorder="1" applyAlignment="1" applyProtection="1">
      <alignment horizontal="center"/>
      <protection locked="0"/>
    </xf>
    <xf numFmtId="0" fontId="11" fillId="0" borderId="0" xfId="0" applyFont="1"/>
    <xf numFmtId="43" fontId="1" fillId="0" borderId="0" xfId="1"/>
    <xf numFmtId="0" fontId="9" fillId="0" borderId="0" xfId="0" applyFont="1" applyAlignment="1">
      <alignment horizontal="center"/>
    </xf>
    <xf numFmtId="43" fontId="1" fillId="5" borderId="6" xfId="1" applyFill="1" applyBorder="1" applyProtection="1">
      <protection locked="0"/>
    </xf>
    <xf numFmtId="0" fontId="7" fillId="0" borderId="0" xfId="0" applyFont="1"/>
    <xf numFmtId="164" fontId="1" fillId="0" borderId="1" xfId="1" applyNumberFormat="1" applyBorder="1"/>
    <xf numFmtId="43" fontId="6" fillId="0" borderId="0" xfId="1" applyFont="1"/>
    <xf numFmtId="49" fontId="0" fillId="0" borderId="0" xfId="0" quotePrefix="1" applyNumberFormat="1"/>
    <xf numFmtId="0" fontId="0" fillId="0" borderId="0" xfId="0" applyAlignment="1">
      <alignment wrapText="1"/>
    </xf>
    <xf numFmtId="166" fontId="1" fillId="0" borderId="0" xfId="1" applyNumberFormat="1"/>
    <xf numFmtId="165" fontId="1" fillId="0" borderId="0" xfId="2" applyNumberFormat="1"/>
    <xf numFmtId="165" fontId="1" fillId="5" borderId="6" xfId="2" applyNumberFormat="1" applyFill="1" applyBorder="1" applyProtection="1">
      <protection locked="0"/>
    </xf>
    <xf numFmtId="165" fontId="1" fillId="0" borderId="1" xfId="1" applyNumberFormat="1" applyBorder="1"/>
    <xf numFmtId="165" fontId="1" fillId="0" borderId="0" xfId="1" applyNumberFormat="1"/>
    <xf numFmtId="10" fontId="1" fillId="0" borderId="0" xfId="1" applyNumberFormat="1"/>
    <xf numFmtId="0" fontId="12" fillId="0" borderId="0" xfId="0" applyFont="1" applyAlignment="1">
      <alignment horizontal="center"/>
    </xf>
    <xf numFmtId="0" fontId="6" fillId="0" borderId="0" xfId="0" applyFont="1" applyAlignment="1">
      <alignment horizontal="right"/>
    </xf>
    <xf numFmtId="0" fontId="6" fillId="0" borderId="1" xfId="0" applyFont="1" applyBorder="1"/>
    <xf numFmtId="0" fontId="6" fillId="0" borderId="1" xfId="0" applyFont="1" applyBorder="1" applyAlignment="1">
      <alignment horizontal="right"/>
    </xf>
    <xf numFmtId="49" fontId="0" fillId="0" borderId="0" xfId="0" applyNumberFormat="1"/>
    <xf numFmtId="43" fontId="1" fillId="0" borderId="0" xfId="1" applyFill="1" applyBorder="1" applyProtection="1"/>
    <xf numFmtId="43" fontId="1" fillId="0" borderId="0" xfId="1" applyAlignment="1">
      <alignment wrapText="1"/>
    </xf>
    <xf numFmtId="43" fontId="0" fillId="0" borderId="0" xfId="1" applyFont="1" applyBorder="1"/>
    <xf numFmtId="43" fontId="0" fillId="0" borderId="0" xfId="1" applyFont="1" applyBorder="1" applyAlignment="1">
      <alignment horizontal="center"/>
    </xf>
    <xf numFmtId="0" fontId="6" fillId="0" borderId="0" xfId="0" applyFont="1" applyAlignment="1">
      <alignment horizontal="center"/>
    </xf>
    <xf numFmtId="0" fontId="0" fillId="6" borderId="6" xfId="0" applyFill="1" applyBorder="1" applyProtection="1">
      <protection locked="0"/>
    </xf>
    <xf numFmtId="0" fontId="0" fillId="0" borderId="0" xfId="0" applyAlignment="1">
      <alignment horizontal="left" wrapText="1"/>
    </xf>
    <xf numFmtId="0" fontId="8" fillId="0" borderId="0" xfId="0" applyFont="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4"/>
  <sheetViews>
    <sheetView workbookViewId="0">
      <selection sqref="A1:E54"/>
    </sheetView>
  </sheetViews>
  <sheetFormatPr defaultRowHeight="12.75" x14ac:dyDescent="0.2"/>
  <sheetData>
    <row r="1" spans="1:5" x14ac:dyDescent="0.2">
      <c r="A1" s="18" t="s">
        <v>4</v>
      </c>
      <c r="D1" s="13">
        <v>7.4999999999999997E-2</v>
      </c>
    </row>
    <row r="3" spans="1:5" x14ac:dyDescent="0.2">
      <c r="D3" t="s">
        <v>5</v>
      </c>
      <c r="E3" t="s">
        <v>6</v>
      </c>
    </row>
    <row r="4" spans="1:5" x14ac:dyDescent="0.2">
      <c r="A4" t="s">
        <v>2</v>
      </c>
      <c r="B4" t="s">
        <v>7</v>
      </c>
      <c r="C4" t="s">
        <v>6</v>
      </c>
      <c r="D4" t="s">
        <v>8</v>
      </c>
      <c r="E4" t="s">
        <v>8</v>
      </c>
    </row>
    <row r="5" spans="1:5" x14ac:dyDescent="0.2">
      <c r="A5">
        <v>50</v>
      </c>
      <c r="B5" s="17">
        <v>194.93</v>
      </c>
      <c r="C5" s="17">
        <v>200.44</v>
      </c>
      <c r="D5" s="17">
        <v>200.05</v>
      </c>
      <c r="E5" s="17">
        <v>202.09</v>
      </c>
    </row>
    <row r="6" spans="1:5" x14ac:dyDescent="0.2">
      <c r="A6">
        <v>51</v>
      </c>
      <c r="B6" s="17">
        <v>192.92</v>
      </c>
      <c r="C6" s="17">
        <v>198.61</v>
      </c>
      <c r="D6" s="17">
        <v>198.26</v>
      </c>
      <c r="E6" s="17">
        <v>200.32</v>
      </c>
    </row>
    <row r="7" spans="1:5" x14ac:dyDescent="0.2">
      <c r="A7">
        <v>52</v>
      </c>
      <c r="B7" s="17">
        <v>190.82</v>
      </c>
      <c r="C7" s="17">
        <v>196.69</v>
      </c>
      <c r="D7" s="17">
        <v>196.38</v>
      </c>
      <c r="E7" s="17">
        <v>198.46</v>
      </c>
    </row>
    <row r="8" spans="1:5" x14ac:dyDescent="0.2">
      <c r="A8">
        <v>53</v>
      </c>
      <c r="B8" s="17">
        <v>188.64</v>
      </c>
      <c r="C8" s="17">
        <v>194.67</v>
      </c>
      <c r="D8" s="17">
        <v>194.41</v>
      </c>
      <c r="E8" s="17">
        <v>196.51</v>
      </c>
    </row>
    <row r="9" spans="1:5" x14ac:dyDescent="0.2">
      <c r="A9">
        <v>54</v>
      </c>
      <c r="B9" s="17">
        <v>186.36</v>
      </c>
      <c r="C9" s="17">
        <v>192.56</v>
      </c>
      <c r="D9" s="17">
        <v>192.36</v>
      </c>
      <c r="E9" s="17">
        <v>194.46</v>
      </c>
    </row>
    <row r="10" spans="1:5" x14ac:dyDescent="0.2">
      <c r="A10">
        <v>55</v>
      </c>
      <c r="B10" s="17">
        <v>184</v>
      </c>
      <c r="C10" s="17">
        <v>190.35</v>
      </c>
      <c r="D10" s="17">
        <v>190.22</v>
      </c>
      <c r="E10" s="17">
        <v>192.31</v>
      </c>
    </row>
    <row r="11" spans="1:5" x14ac:dyDescent="0.2">
      <c r="A11">
        <v>56</v>
      </c>
      <c r="B11" s="17">
        <v>181.54</v>
      </c>
      <c r="C11" s="17">
        <v>188.03</v>
      </c>
      <c r="D11" s="17">
        <v>187.98</v>
      </c>
      <c r="E11" s="17">
        <v>190.06</v>
      </c>
    </row>
    <row r="12" spans="1:5" x14ac:dyDescent="0.2">
      <c r="A12">
        <v>57</v>
      </c>
      <c r="B12" s="17">
        <v>178.99</v>
      </c>
      <c r="C12" s="17">
        <v>185.6</v>
      </c>
      <c r="D12" s="17">
        <v>185.66</v>
      </c>
      <c r="E12" s="17">
        <v>187.7</v>
      </c>
    </row>
    <row r="13" spans="1:5" x14ac:dyDescent="0.2">
      <c r="A13">
        <v>58</v>
      </c>
      <c r="B13" s="17">
        <v>176.35</v>
      </c>
      <c r="C13" s="17">
        <v>183.08</v>
      </c>
      <c r="D13" s="17">
        <v>183.24</v>
      </c>
      <c r="E13" s="17">
        <v>185.24</v>
      </c>
    </row>
    <row r="14" spans="1:5" x14ac:dyDescent="0.2">
      <c r="A14">
        <v>59</v>
      </c>
      <c r="B14" s="17">
        <v>173.62</v>
      </c>
      <c r="C14" s="17">
        <v>180.46</v>
      </c>
      <c r="D14" s="17">
        <v>180.73</v>
      </c>
      <c r="E14" s="17">
        <v>182.68</v>
      </c>
    </row>
    <row r="15" spans="1:5" x14ac:dyDescent="0.2">
      <c r="A15">
        <v>60</v>
      </c>
      <c r="B15" s="17">
        <v>170.81</v>
      </c>
      <c r="C15" s="17">
        <v>177.75</v>
      </c>
      <c r="D15" s="17">
        <v>178.13</v>
      </c>
      <c r="E15" s="17">
        <v>180.03</v>
      </c>
    </row>
    <row r="16" spans="1:5" x14ac:dyDescent="0.2">
      <c r="A16">
        <v>61</v>
      </c>
      <c r="B16" s="17">
        <v>167.91</v>
      </c>
      <c r="C16" s="17">
        <v>174.93</v>
      </c>
      <c r="D16" s="17">
        <v>175.44</v>
      </c>
      <c r="E16" s="17">
        <v>177.27</v>
      </c>
    </row>
    <row r="17" spans="1:5" x14ac:dyDescent="0.2">
      <c r="A17">
        <v>62</v>
      </c>
      <c r="B17" s="17">
        <v>164.93</v>
      </c>
      <c r="C17" s="17">
        <v>172.03</v>
      </c>
      <c r="D17" s="17">
        <v>172.66</v>
      </c>
      <c r="E17" s="17">
        <v>174.42</v>
      </c>
    </row>
    <row r="18" spans="1:5" x14ac:dyDescent="0.2">
      <c r="A18">
        <v>63</v>
      </c>
      <c r="B18" s="17">
        <v>161.88</v>
      </c>
      <c r="C18" s="17">
        <v>169.04</v>
      </c>
      <c r="D18" s="17">
        <v>169.8</v>
      </c>
      <c r="E18" s="17">
        <v>171.47</v>
      </c>
    </row>
    <row r="19" spans="1:5" x14ac:dyDescent="0.2">
      <c r="A19">
        <v>64</v>
      </c>
      <c r="B19" s="17">
        <v>158.76</v>
      </c>
      <c r="C19" s="17">
        <v>165.96</v>
      </c>
      <c r="D19" s="17">
        <v>166.86</v>
      </c>
      <c r="E19" s="17">
        <v>168.44</v>
      </c>
    </row>
    <row r="20" spans="1:5" x14ac:dyDescent="0.2">
      <c r="A20">
        <v>65</v>
      </c>
      <c r="B20" s="17">
        <v>155.58000000000001</v>
      </c>
      <c r="C20" s="17">
        <v>162.81</v>
      </c>
      <c r="D20" s="17">
        <v>163.84</v>
      </c>
      <c r="E20" s="17">
        <v>165.31</v>
      </c>
    </row>
    <row r="21" spans="1:5" x14ac:dyDescent="0.2">
      <c r="A21">
        <v>66</v>
      </c>
      <c r="B21" s="17">
        <v>152.34</v>
      </c>
      <c r="C21" s="17">
        <v>159.57</v>
      </c>
      <c r="D21" s="17">
        <v>160.75</v>
      </c>
      <c r="E21" s="17">
        <v>162.1</v>
      </c>
    </row>
    <row r="22" spans="1:5" x14ac:dyDescent="0.2">
      <c r="A22">
        <v>67</v>
      </c>
      <c r="B22" s="17">
        <v>149.04</v>
      </c>
      <c r="C22" s="17">
        <v>156.25</v>
      </c>
      <c r="D22" s="17">
        <v>157.59</v>
      </c>
      <c r="E22" s="17">
        <v>158.80000000000001</v>
      </c>
    </row>
    <row r="23" spans="1:5" x14ac:dyDescent="0.2">
      <c r="A23">
        <v>68</v>
      </c>
      <c r="B23" s="17">
        <v>145.69</v>
      </c>
      <c r="C23" s="17">
        <v>152.84</v>
      </c>
      <c r="D23" s="17">
        <v>154.36000000000001</v>
      </c>
      <c r="E23" s="17">
        <v>155.41</v>
      </c>
    </row>
    <row r="24" spans="1:5" x14ac:dyDescent="0.2">
      <c r="A24">
        <v>69</v>
      </c>
      <c r="B24" s="17">
        <v>142.27000000000001</v>
      </c>
      <c r="C24" s="17">
        <v>149.33000000000001</v>
      </c>
      <c r="D24" s="17">
        <v>151.05000000000001</v>
      </c>
      <c r="E24" s="17">
        <v>151.91999999999999</v>
      </c>
    </row>
    <row r="25" spans="1:5" x14ac:dyDescent="0.2">
      <c r="A25">
        <v>70</v>
      </c>
      <c r="B25" s="17">
        <v>138.79</v>
      </c>
      <c r="C25" s="17">
        <v>145.71</v>
      </c>
      <c r="D25" s="17">
        <v>147.66</v>
      </c>
      <c r="E25" s="17">
        <v>148.31</v>
      </c>
    </row>
    <row r="26" spans="1:5" x14ac:dyDescent="0.2">
      <c r="A26">
        <v>71</v>
      </c>
      <c r="B26" s="17">
        <v>135.24</v>
      </c>
      <c r="C26" s="17">
        <v>141.97999999999999</v>
      </c>
      <c r="D26" s="17">
        <v>144.19999999999999</v>
      </c>
      <c r="E26" s="17">
        <v>144.58000000000001</v>
      </c>
    </row>
    <row r="27" spans="1:5" x14ac:dyDescent="0.2">
      <c r="A27">
        <v>72</v>
      </c>
      <c r="B27" s="17">
        <v>131.63</v>
      </c>
      <c r="C27" s="17">
        <v>138.13</v>
      </c>
      <c r="D27" s="17">
        <v>140.66</v>
      </c>
      <c r="E27" s="17">
        <v>140.75</v>
      </c>
    </row>
    <row r="28" spans="1:5" x14ac:dyDescent="0.2">
      <c r="A28">
        <v>73</v>
      </c>
      <c r="B28" s="17">
        <v>127.96</v>
      </c>
      <c r="C28" s="17">
        <v>134.19999999999999</v>
      </c>
      <c r="D28" s="17">
        <v>137.05000000000001</v>
      </c>
      <c r="E28" s="17">
        <v>136.82</v>
      </c>
    </row>
    <row r="29" spans="1:5" x14ac:dyDescent="0.2">
      <c r="A29">
        <v>74</v>
      </c>
      <c r="B29" s="17">
        <v>124.23</v>
      </c>
      <c r="C29" s="17">
        <v>130.19999999999999</v>
      </c>
      <c r="D29" s="17">
        <v>133.36000000000001</v>
      </c>
      <c r="E29" s="17">
        <v>132.82</v>
      </c>
    </row>
    <row r="30" spans="1:5" x14ac:dyDescent="0.2">
      <c r="A30">
        <v>75</v>
      </c>
      <c r="B30" s="17">
        <v>120.44</v>
      </c>
      <c r="C30" s="17">
        <v>126.12</v>
      </c>
      <c r="D30" s="17">
        <v>129.59</v>
      </c>
      <c r="E30" s="17">
        <v>128.72999999999999</v>
      </c>
    </row>
    <row r="31" spans="1:5" x14ac:dyDescent="0.2">
      <c r="A31">
        <v>76</v>
      </c>
      <c r="B31" s="17">
        <v>116.58</v>
      </c>
      <c r="C31" s="17">
        <v>121.98</v>
      </c>
      <c r="D31" s="17">
        <v>125.74</v>
      </c>
      <c r="E31" s="17">
        <v>124.58</v>
      </c>
    </row>
    <row r="32" spans="1:5" x14ac:dyDescent="0.2">
      <c r="A32">
        <v>77</v>
      </c>
      <c r="B32" s="17">
        <v>112.67</v>
      </c>
      <c r="C32" s="17">
        <v>117.79</v>
      </c>
      <c r="D32" s="17">
        <v>121.83</v>
      </c>
      <c r="E32" s="17">
        <v>120.37</v>
      </c>
    </row>
    <row r="33" spans="1:5" x14ac:dyDescent="0.2">
      <c r="A33">
        <v>78</v>
      </c>
      <c r="B33" s="17">
        <v>108.75</v>
      </c>
      <c r="C33" s="17">
        <v>113.57</v>
      </c>
      <c r="D33" s="17">
        <v>117.87</v>
      </c>
      <c r="E33" s="17">
        <v>116.13</v>
      </c>
    </row>
    <row r="34" spans="1:5" x14ac:dyDescent="0.2">
      <c r="A34">
        <v>79</v>
      </c>
      <c r="B34" s="17">
        <v>104.83</v>
      </c>
      <c r="C34" s="17">
        <v>109.34</v>
      </c>
      <c r="D34" s="17">
        <v>113.89</v>
      </c>
      <c r="E34" s="17">
        <v>111.87</v>
      </c>
    </row>
    <row r="35" spans="1:5" x14ac:dyDescent="0.2">
      <c r="A35">
        <v>80</v>
      </c>
      <c r="B35" s="17">
        <v>100.93</v>
      </c>
      <c r="C35" s="17">
        <v>105.1</v>
      </c>
      <c r="D35" s="17">
        <v>109.9</v>
      </c>
      <c r="E35" s="17">
        <v>107.6</v>
      </c>
    </row>
    <row r="36" spans="1:5" x14ac:dyDescent="0.2">
      <c r="A36">
        <v>81</v>
      </c>
      <c r="B36" s="17">
        <v>97.06</v>
      </c>
      <c r="C36" s="17">
        <v>100.86</v>
      </c>
      <c r="D36" s="17">
        <v>105.92</v>
      </c>
      <c r="E36" s="17">
        <v>103.32</v>
      </c>
    </row>
    <row r="37" spans="1:5" x14ac:dyDescent="0.2">
      <c r="A37">
        <v>82</v>
      </c>
      <c r="B37" s="17">
        <v>93.23</v>
      </c>
      <c r="C37" s="17">
        <v>96.63</v>
      </c>
      <c r="D37" s="17">
        <v>101.96</v>
      </c>
      <c r="E37" s="17">
        <v>99.06</v>
      </c>
    </row>
    <row r="38" spans="1:5" x14ac:dyDescent="0.2">
      <c r="A38">
        <v>83</v>
      </c>
      <c r="B38" s="17">
        <v>89.45</v>
      </c>
      <c r="C38" s="17">
        <v>92.44</v>
      </c>
      <c r="D38" s="17">
        <v>98.01</v>
      </c>
      <c r="E38" s="17">
        <v>94.83</v>
      </c>
    </row>
    <row r="39" spans="1:5" x14ac:dyDescent="0.2">
      <c r="A39">
        <v>84</v>
      </c>
      <c r="B39" s="17">
        <v>85.69</v>
      </c>
      <c r="C39" s="17">
        <v>88.29</v>
      </c>
      <c r="D39" s="17">
        <v>94.07</v>
      </c>
      <c r="E39" s="17">
        <v>90.63</v>
      </c>
    </row>
    <row r="40" spans="1:5" x14ac:dyDescent="0.2">
      <c r="A40">
        <v>85</v>
      </c>
      <c r="B40" s="17">
        <v>81.95</v>
      </c>
      <c r="C40" s="17">
        <v>84.17</v>
      </c>
      <c r="D40" s="17">
        <v>90.13</v>
      </c>
      <c r="E40" s="17">
        <v>86.46</v>
      </c>
    </row>
    <row r="41" spans="1:5" x14ac:dyDescent="0.2">
      <c r="A41">
        <v>86</v>
      </c>
      <c r="B41" s="17">
        <v>78.209999999999994</v>
      </c>
      <c r="C41" s="17">
        <v>80.099999999999994</v>
      </c>
      <c r="D41" s="17">
        <v>86.19</v>
      </c>
      <c r="E41" s="17">
        <v>82.33</v>
      </c>
    </row>
    <row r="42" spans="1:5" x14ac:dyDescent="0.2">
      <c r="A42">
        <v>87</v>
      </c>
      <c r="B42" s="17">
        <v>74.510000000000005</v>
      </c>
      <c r="C42" s="17">
        <v>76.099999999999994</v>
      </c>
      <c r="D42" s="17">
        <v>82.28</v>
      </c>
      <c r="E42" s="17">
        <v>78.260000000000005</v>
      </c>
    </row>
    <row r="43" spans="1:5" x14ac:dyDescent="0.2">
      <c r="A43">
        <v>88</v>
      </c>
      <c r="B43" s="17">
        <v>70.86</v>
      </c>
      <c r="C43" s="17">
        <v>72.19</v>
      </c>
      <c r="D43" s="17">
        <v>78.42</v>
      </c>
      <c r="E43" s="17">
        <v>74.28</v>
      </c>
    </row>
    <row r="44" spans="1:5" x14ac:dyDescent="0.2">
      <c r="A44">
        <v>89</v>
      </c>
      <c r="B44" s="17">
        <v>67.31</v>
      </c>
      <c r="C44" s="17">
        <v>68.41</v>
      </c>
      <c r="D44" s="17">
        <v>74.63</v>
      </c>
      <c r="E44" s="17">
        <v>70.430000000000007</v>
      </c>
    </row>
    <row r="45" spans="1:5" x14ac:dyDescent="0.2">
      <c r="A45">
        <v>90</v>
      </c>
      <c r="B45" s="17">
        <v>63.85</v>
      </c>
      <c r="C45" s="17">
        <v>64.78</v>
      </c>
      <c r="D45" s="17">
        <v>70.92</v>
      </c>
      <c r="E45" s="17">
        <v>66.72</v>
      </c>
    </row>
    <row r="46" spans="1:5" x14ac:dyDescent="0.2">
      <c r="A46">
        <v>91</v>
      </c>
      <c r="B46" s="17">
        <v>60.5</v>
      </c>
      <c r="C46" s="17">
        <v>61.3</v>
      </c>
      <c r="D46" s="17">
        <v>67.31</v>
      </c>
      <c r="E46" s="17">
        <v>63.16</v>
      </c>
    </row>
    <row r="47" spans="1:5" x14ac:dyDescent="0.2">
      <c r="A47">
        <v>92</v>
      </c>
      <c r="B47" s="17">
        <v>57.28</v>
      </c>
      <c r="C47" s="17">
        <v>57.98</v>
      </c>
      <c r="D47" s="17">
        <v>63.82</v>
      </c>
      <c r="E47" s="17">
        <v>59.76</v>
      </c>
    </row>
    <row r="48" spans="1:5" x14ac:dyDescent="0.2">
      <c r="A48">
        <v>93</v>
      </c>
      <c r="B48" s="17">
        <v>54.19</v>
      </c>
      <c r="C48" s="17">
        <v>54.81</v>
      </c>
      <c r="D48" s="17">
        <v>60.45</v>
      </c>
      <c r="E48" s="17">
        <v>56.52</v>
      </c>
    </row>
    <row r="49" spans="1:5" x14ac:dyDescent="0.2">
      <c r="A49">
        <v>94</v>
      </c>
      <c r="B49" s="17">
        <v>51.25</v>
      </c>
      <c r="C49" s="17">
        <v>51.81</v>
      </c>
      <c r="D49" s="17">
        <v>57.23</v>
      </c>
      <c r="E49" s="17">
        <v>53.45</v>
      </c>
    </row>
    <row r="50" spans="1:5" x14ac:dyDescent="0.2">
      <c r="A50">
        <v>95</v>
      </c>
      <c r="B50" s="17">
        <v>48.48</v>
      </c>
      <c r="C50" s="17">
        <v>48.97</v>
      </c>
      <c r="D50" s="17">
        <v>54.18</v>
      </c>
      <c r="E50" s="17">
        <v>50.54</v>
      </c>
    </row>
    <row r="51" spans="1:5" x14ac:dyDescent="0.2">
      <c r="A51">
        <v>96</v>
      </c>
      <c r="B51" s="17">
        <v>45.9</v>
      </c>
      <c r="C51" s="17">
        <v>46.29</v>
      </c>
      <c r="D51" s="17">
        <v>51.32</v>
      </c>
      <c r="E51" s="17">
        <v>47.8</v>
      </c>
    </row>
    <row r="52" spans="1:5" x14ac:dyDescent="0.2">
      <c r="A52">
        <v>97</v>
      </c>
      <c r="B52" s="17">
        <v>43.49</v>
      </c>
      <c r="C52" s="17">
        <v>43.77</v>
      </c>
      <c r="D52" s="17">
        <v>48.62</v>
      </c>
      <c r="E52" s="17">
        <v>45.22</v>
      </c>
    </row>
    <row r="53" spans="1:5" x14ac:dyDescent="0.2">
      <c r="A53">
        <v>98</v>
      </c>
      <c r="B53" s="17">
        <v>41.24</v>
      </c>
      <c r="C53" s="17">
        <v>41.4</v>
      </c>
      <c r="D53" s="17">
        <v>46.09</v>
      </c>
      <c r="E53" s="17">
        <v>42.79</v>
      </c>
    </row>
    <row r="54" spans="1:5" x14ac:dyDescent="0.2">
      <c r="A54">
        <v>99</v>
      </c>
      <c r="B54" s="17">
        <v>39.119999999999997</v>
      </c>
      <c r="C54" s="17">
        <v>39.159999999999997</v>
      </c>
      <c r="D54" s="17">
        <v>43.7</v>
      </c>
      <c r="E54" s="17">
        <v>40.51</v>
      </c>
    </row>
  </sheetData>
  <sheetProtection algorithmName="SHA-512" hashValue="aqnhFu5TtFKpUTkThJCUgKaW/R2rVik5R/V/V1TyLtossEsiEjU/e+2y8qZ4t5ZX+OzTIyZ4kMfNgkfZfTUCmA==" saltValue="Ib/jeNd/BvakPrCNEZ/BY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L27"/>
  <sheetViews>
    <sheetView workbookViewId="0">
      <selection activeCell="J9" sqref="J9"/>
    </sheetView>
  </sheetViews>
  <sheetFormatPr defaultColWidth="8.85546875" defaultRowHeight="12.75" x14ac:dyDescent="0.2"/>
  <cols>
    <col min="1" max="1" width="4.7109375" customWidth="1"/>
    <col min="2" max="2" width="4.42578125" customWidth="1"/>
    <col min="3" max="3" width="7" customWidth="1"/>
    <col min="4" max="5" width="5.7109375" customWidth="1"/>
    <col min="6" max="6" width="11" customWidth="1"/>
    <col min="7" max="7" width="7.7109375" customWidth="1"/>
    <col min="8" max="8" width="11.28515625" style="1" customWidth="1"/>
    <col min="9" max="9" width="10.42578125" customWidth="1"/>
    <col min="10" max="10" width="8.85546875" customWidth="1"/>
    <col min="11" max="11" width="12.140625" customWidth="1"/>
    <col min="12" max="12" width="11.85546875" style="1" customWidth="1"/>
  </cols>
  <sheetData>
    <row r="7" spans="1:12" x14ac:dyDescent="0.2">
      <c r="A7" s="14" t="s">
        <v>9</v>
      </c>
      <c r="B7" s="15" t="s">
        <v>10</v>
      </c>
      <c r="C7" s="15" t="s">
        <v>11</v>
      </c>
      <c r="D7" s="15" t="s">
        <v>12</v>
      </c>
      <c r="E7" s="15" t="s">
        <v>13</v>
      </c>
      <c r="F7" s="15" t="s">
        <v>14</v>
      </c>
      <c r="G7" s="15" t="s">
        <v>15</v>
      </c>
      <c r="H7" s="16" t="s">
        <v>16</v>
      </c>
      <c r="I7" s="15" t="s">
        <v>17</v>
      </c>
      <c r="J7" s="15" t="s">
        <v>18</v>
      </c>
      <c r="K7" s="15" t="s">
        <v>48</v>
      </c>
      <c r="L7" s="16" t="s">
        <v>50</v>
      </c>
    </row>
    <row r="8" spans="1:12" x14ac:dyDescent="0.2">
      <c r="A8" s="14" t="s">
        <v>19</v>
      </c>
      <c r="B8" s="15" t="s">
        <v>2</v>
      </c>
      <c r="C8" s="15" t="s">
        <v>20</v>
      </c>
      <c r="D8" s="15" t="s">
        <v>21</v>
      </c>
      <c r="E8" s="15" t="s">
        <v>22</v>
      </c>
      <c r="F8" s="15" t="s">
        <v>15</v>
      </c>
      <c r="G8" s="15" t="s">
        <v>23</v>
      </c>
      <c r="H8" s="16" t="s">
        <v>15</v>
      </c>
      <c r="I8" s="15" t="s">
        <v>24</v>
      </c>
      <c r="J8" s="15" t="s">
        <v>3</v>
      </c>
      <c r="K8" s="15" t="s">
        <v>49</v>
      </c>
      <c r="L8" s="16" t="s">
        <v>49</v>
      </c>
    </row>
    <row r="9" spans="1:12" x14ac:dyDescent="0.2">
      <c r="A9" t="str">
        <f>UPPER(Entry!H8)</f>
        <v>R</v>
      </c>
      <c r="B9">
        <f>Entry!C8</f>
        <v>45</v>
      </c>
      <c r="C9">
        <f>IF(OR(A9="S",A9="A"),50,55)</f>
        <v>55</v>
      </c>
      <c r="D9">
        <f>MAX(0,C9-B9)</f>
        <v>10</v>
      </c>
      <c r="E9">
        <f>Entry!G8</f>
        <v>48</v>
      </c>
      <c r="F9" s="12">
        <f>Entry!D8</f>
        <v>50000</v>
      </c>
      <c r="G9" s="13">
        <f>Entry!E8</f>
        <v>3.2500000000000001E-2</v>
      </c>
      <c r="H9" s="1">
        <f>ROUND(F9*((1+G9)^D9),2)</f>
        <v>68844.72</v>
      </c>
      <c r="I9" s="1">
        <f>ROUND((IF(A9="E",0.05,IF(A9="S",0.025,0.02))*E9/12*H9)/12,2)</f>
        <v>458.96</v>
      </c>
      <c r="J9">
        <f>VLOOKUP(MAX(C9,B9),'pv factors'!A$5:E$54,Entry!M8+Entry!N8)</f>
        <v>188.76</v>
      </c>
      <c r="K9" s="12">
        <f>I9*J9</f>
        <v>86633.289599999989</v>
      </c>
      <c r="L9" s="1">
        <f>ROUND(K9/(1.075^(D9-1)),2)</f>
        <v>45186.49</v>
      </c>
    </row>
    <row r="10" spans="1:12" x14ac:dyDescent="0.2">
      <c r="A10" t="str">
        <f>UPPER(Entry!H9)</f>
        <v>R</v>
      </c>
      <c r="B10">
        <f>Entry!C9</f>
        <v>0</v>
      </c>
      <c r="C10">
        <f t="shared" ref="C10:C27" si="0">IF(OR(A10="S",A10="A"),50,55)</f>
        <v>55</v>
      </c>
      <c r="D10">
        <f t="shared" ref="D10:D17" si="1">MAX(0,C10-B10)</f>
        <v>55</v>
      </c>
      <c r="E10">
        <f>Entry!G9</f>
        <v>48</v>
      </c>
      <c r="F10" s="12">
        <f>Entry!D9</f>
        <v>0</v>
      </c>
      <c r="G10" s="13">
        <f>Entry!E9</f>
        <v>3.2500000000000001E-2</v>
      </c>
      <c r="H10" s="1">
        <f t="shared" ref="H10:H17" si="2">ROUND(F10*((1+G10)^D10),2)</f>
        <v>0</v>
      </c>
      <c r="I10" s="1">
        <f>ROUND((IF(A10="E",0.05,IF(A10="S",0.025,0.02))*E10/12*H10)/12,2)</f>
        <v>0</v>
      </c>
      <c r="J10">
        <f>VLOOKUP(MAX(C10,B10),'pv factors'!A$5:E$54,Entry!M9+Entry!N9)</f>
        <v>188.76</v>
      </c>
      <c r="K10" s="12">
        <f t="shared" ref="K10:K17" si="3">I10*J10</f>
        <v>0</v>
      </c>
      <c r="L10" s="1">
        <f t="shared" ref="L10:L17" si="4">ROUND(K10/(1.075^(D10-1)),2)</f>
        <v>0</v>
      </c>
    </row>
    <row r="11" spans="1:12" x14ac:dyDescent="0.2">
      <c r="A11" t="str">
        <f>UPPER(Entry!H10)</f>
        <v>R</v>
      </c>
      <c r="B11">
        <f>Entry!C10</f>
        <v>0</v>
      </c>
      <c r="C11">
        <f t="shared" si="0"/>
        <v>55</v>
      </c>
      <c r="D11">
        <f t="shared" si="1"/>
        <v>55</v>
      </c>
      <c r="E11">
        <f>Entry!G10</f>
        <v>48</v>
      </c>
      <c r="F11" s="12">
        <f>Entry!D10</f>
        <v>0</v>
      </c>
      <c r="G11" s="13">
        <f>Entry!E10</f>
        <v>3.2500000000000001E-2</v>
      </c>
      <c r="H11" s="1">
        <f t="shared" si="2"/>
        <v>0</v>
      </c>
      <c r="I11" s="1">
        <f t="shared" ref="I11:I27" si="5">ROUND((IF(A11="E",0.05,IF(A11="S",0.025,0.02))*E11/12*H11)/12,2)</f>
        <v>0</v>
      </c>
      <c r="J11">
        <f>VLOOKUP(MAX(C11,B11),'pv factors'!A$5:E$54,Entry!M10+Entry!N10)</f>
        <v>188.76</v>
      </c>
      <c r="K11" s="12">
        <f t="shared" si="3"/>
        <v>0</v>
      </c>
      <c r="L11" s="1">
        <f t="shared" si="4"/>
        <v>0</v>
      </c>
    </row>
    <row r="12" spans="1:12" x14ac:dyDescent="0.2">
      <c r="A12" t="str">
        <f>UPPER(Entry!H11)</f>
        <v>R</v>
      </c>
      <c r="B12">
        <f>Entry!C11</f>
        <v>0</v>
      </c>
      <c r="C12">
        <f t="shared" si="0"/>
        <v>55</v>
      </c>
      <c r="D12">
        <f t="shared" si="1"/>
        <v>55</v>
      </c>
      <c r="E12">
        <f>Entry!G11</f>
        <v>48</v>
      </c>
      <c r="F12" s="12">
        <f>Entry!D11</f>
        <v>0</v>
      </c>
      <c r="G12" s="13">
        <f>Entry!E11</f>
        <v>3.2500000000000001E-2</v>
      </c>
      <c r="H12" s="1">
        <f t="shared" si="2"/>
        <v>0</v>
      </c>
      <c r="I12" s="1">
        <f t="shared" si="5"/>
        <v>0</v>
      </c>
      <c r="J12">
        <f>VLOOKUP(MAX(C12,B12),'pv factors'!A$5:E$54,Entry!M11+Entry!N11)</f>
        <v>188.76</v>
      </c>
      <c r="K12" s="12">
        <f t="shared" si="3"/>
        <v>0</v>
      </c>
      <c r="L12" s="1">
        <f t="shared" si="4"/>
        <v>0</v>
      </c>
    </row>
    <row r="13" spans="1:12" x14ac:dyDescent="0.2">
      <c r="A13" t="str">
        <f>UPPER(Entry!H12)</f>
        <v>R</v>
      </c>
      <c r="B13">
        <f>Entry!C12</f>
        <v>0</v>
      </c>
      <c r="C13">
        <f t="shared" si="0"/>
        <v>55</v>
      </c>
      <c r="D13">
        <f t="shared" si="1"/>
        <v>55</v>
      </c>
      <c r="E13">
        <f>Entry!G12</f>
        <v>48</v>
      </c>
      <c r="F13" s="12">
        <f>Entry!D12</f>
        <v>0</v>
      </c>
      <c r="G13" s="13">
        <f>Entry!E12</f>
        <v>3.2500000000000001E-2</v>
      </c>
      <c r="H13" s="1">
        <f t="shared" si="2"/>
        <v>0</v>
      </c>
      <c r="I13" s="1">
        <f t="shared" si="5"/>
        <v>0</v>
      </c>
      <c r="J13">
        <f>VLOOKUP(MAX(C13,B13),'pv factors'!A$5:E$54,Entry!M12+Entry!N12)</f>
        <v>188.76</v>
      </c>
      <c r="K13" s="12">
        <f t="shared" si="3"/>
        <v>0</v>
      </c>
      <c r="L13" s="1">
        <f t="shared" si="4"/>
        <v>0</v>
      </c>
    </row>
    <row r="14" spans="1:12" x14ac:dyDescent="0.2">
      <c r="A14" t="str">
        <f>UPPER(Entry!H13)</f>
        <v>R</v>
      </c>
      <c r="B14">
        <f>Entry!C13</f>
        <v>0</v>
      </c>
      <c r="C14">
        <f t="shared" si="0"/>
        <v>55</v>
      </c>
      <c r="D14">
        <f t="shared" si="1"/>
        <v>55</v>
      </c>
      <c r="E14">
        <f>Entry!G13</f>
        <v>48</v>
      </c>
      <c r="F14" s="12">
        <f>Entry!D13</f>
        <v>0</v>
      </c>
      <c r="G14" s="13">
        <f>Entry!E13</f>
        <v>3.2500000000000001E-2</v>
      </c>
      <c r="H14" s="1">
        <f t="shared" si="2"/>
        <v>0</v>
      </c>
      <c r="I14" s="1">
        <f t="shared" si="5"/>
        <v>0</v>
      </c>
      <c r="J14">
        <f>VLOOKUP(MAX(C14,B14),'pv factors'!A$5:E$54,Entry!M13+Entry!N13)</f>
        <v>188.76</v>
      </c>
      <c r="K14" s="12">
        <f t="shared" si="3"/>
        <v>0</v>
      </c>
      <c r="L14" s="1">
        <f t="shared" si="4"/>
        <v>0</v>
      </c>
    </row>
    <row r="15" spans="1:12" x14ac:dyDescent="0.2">
      <c r="A15" t="str">
        <f>UPPER(Entry!H14)</f>
        <v>R</v>
      </c>
      <c r="B15">
        <f>Entry!C14</f>
        <v>0</v>
      </c>
      <c r="C15">
        <f t="shared" si="0"/>
        <v>55</v>
      </c>
      <c r="D15">
        <f t="shared" si="1"/>
        <v>55</v>
      </c>
      <c r="E15">
        <f>Entry!G14</f>
        <v>48</v>
      </c>
      <c r="F15" s="12">
        <f>Entry!D14</f>
        <v>0</v>
      </c>
      <c r="G15" s="13">
        <f>Entry!E14</f>
        <v>3.2500000000000001E-2</v>
      </c>
      <c r="H15" s="1">
        <f t="shared" si="2"/>
        <v>0</v>
      </c>
      <c r="I15" s="1">
        <f t="shared" si="5"/>
        <v>0</v>
      </c>
      <c r="J15">
        <f>VLOOKUP(MAX(C15,B15),'pv factors'!A$5:E$54,Entry!M14+Entry!N14)</f>
        <v>188.76</v>
      </c>
      <c r="K15" s="12">
        <f t="shared" si="3"/>
        <v>0</v>
      </c>
      <c r="L15" s="1">
        <f t="shared" si="4"/>
        <v>0</v>
      </c>
    </row>
    <row r="16" spans="1:12" x14ac:dyDescent="0.2">
      <c r="A16" t="str">
        <f>UPPER(Entry!H15)</f>
        <v>R</v>
      </c>
      <c r="B16">
        <f>Entry!C15</f>
        <v>0</v>
      </c>
      <c r="C16">
        <f t="shared" si="0"/>
        <v>55</v>
      </c>
      <c r="D16">
        <f t="shared" si="1"/>
        <v>55</v>
      </c>
      <c r="E16">
        <f>Entry!G15</f>
        <v>48</v>
      </c>
      <c r="F16" s="12">
        <f>Entry!D15</f>
        <v>0</v>
      </c>
      <c r="G16" s="13">
        <f>Entry!E15</f>
        <v>3.2500000000000001E-2</v>
      </c>
      <c r="H16" s="1">
        <f t="shared" si="2"/>
        <v>0</v>
      </c>
      <c r="I16" s="1">
        <f t="shared" si="5"/>
        <v>0</v>
      </c>
      <c r="J16">
        <f>VLOOKUP(MAX(C16,B16),'pv factors'!A$5:E$54,Entry!M15+Entry!N15)</f>
        <v>188.76</v>
      </c>
      <c r="K16" s="12">
        <f t="shared" si="3"/>
        <v>0</v>
      </c>
      <c r="L16" s="1">
        <f t="shared" si="4"/>
        <v>0</v>
      </c>
    </row>
    <row r="17" spans="1:12" x14ac:dyDescent="0.2">
      <c r="A17" t="str">
        <f>UPPER(Entry!H16)</f>
        <v>R</v>
      </c>
      <c r="B17">
        <f>Entry!C16</f>
        <v>0</v>
      </c>
      <c r="C17">
        <f t="shared" si="0"/>
        <v>55</v>
      </c>
      <c r="D17">
        <f t="shared" si="1"/>
        <v>55</v>
      </c>
      <c r="E17">
        <f>Entry!G16</f>
        <v>48</v>
      </c>
      <c r="F17" s="12">
        <f>Entry!D16</f>
        <v>0</v>
      </c>
      <c r="G17" s="13">
        <f>Entry!E16</f>
        <v>3.2500000000000001E-2</v>
      </c>
      <c r="H17" s="1">
        <f t="shared" si="2"/>
        <v>0</v>
      </c>
      <c r="I17" s="1">
        <f t="shared" si="5"/>
        <v>0</v>
      </c>
      <c r="J17">
        <f>VLOOKUP(MAX(C17,B17),'pv factors'!A$5:E$54,Entry!M16+Entry!N16)</f>
        <v>188.76</v>
      </c>
      <c r="K17" s="12">
        <f t="shared" si="3"/>
        <v>0</v>
      </c>
      <c r="L17" s="1">
        <f t="shared" si="4"/>
        <v>0</v>
      </c>
    </row>
    <row r="18" spans="1:12" x14ac:dyDescent="0.2">
      <c r="A18" t="str">
        <f>UPPER(Entry!H17)</f>
        <v>R</v>
      </c>
      <c r="B18">
        <f>Entry!C17</f>
        <v>0</v>
      </c>
      <c r="C18">
        <f t="shared" si="0"/>
        <v>55</v>
      </c>
      <c r="D18">
        <f t="shared" ref="D18:D27" si="6">MAX(0,C18-B18)</f>
        <v>55</v>
      </c>
      <c r="E18">
        <f>Entry!G17</f>
        <v>48</v>
      </c>
      <c r="F18" s="12">
        <f>Entry!D17</f>
        <v>0</v>
      </c>
      <c r="G18" s="13">
        <f>Entry!E17</f>
        <v>3.2500000000000001E-2</v>
      </c>
      <c r="H18" s="1">
        <f t="shared" ref="H18:H27" si="7">ROUND(F18*((1+G18)^D18),2)</f>
        <v>0</v>
      </c>
      <c r="I18" s="1">
        <f t="shared" si="5"/>
        <v>0</v>
      </c>
      <c r="J18">
        <f>VLOOKUP(MAX(C18,B18),'pv factors'!A$5:E$54,Entry!M17+Entry!N17)</f>
        <v>188.76</v>
      </c>
      <c r="K18" s="12">
        <f t="shared" ref="K18:K27" si="8">I18*J18</f>
        <v>0</v>
      </c>
      <c r="L18" s="1">
        <f t="shared" ref="L18:L27" si="9">ROUND(K18/(1.075^(D18-1)),2)</f>
        <v>0</v>
      </c>
    </row>
    <row r="19" spans="1:12" x14ac:dyDescent="0.2">
      <c r="A19" t="str">
        <f>UPPER(Entry!H18)</f>
        <v>R</v>
      </c>
      <c r="B19">
        <f>Entry!C18</f>
        <v>0</v>
      </c>
      <c r="C19">
        <f t="shared" si="0"/>
        <v>55</v>
      </c>
      <c r="D19">
        <f t="shared" si="6"/>
        <v>55</v>
      </c>
      <c r="E19">
        <f>Entry!G18</f>
        <v>48</v>
      </c>
      <c r="F19" s="12">
        <f>Entry!D18</f>
        <v>0</v>
      </c>
      <c r="G19" s="13">
        <f>Entry!E18</f>
        <v>3.2500000000000001E-2</v>
      </c>
      <c r="H19" s="1">
        <f t="shared" si="7"/>
        <v>0</v>
      </c>
      <c r="I19" s="1">
        <f t="shared" si="5"/>
        <v>0</v>
      </c>
      <c r="J19">
        <f>VLOOKUP(MAX(C19,B19),'pv factors'!A$5:E$54,Entry!M18+Entry!N18)</f>
        <v>188.76</v>
      </c>
      <c r="K19" s="12">
        <f t="shared" si="8"/>
        <v>0</v>
      </c>
      <c r="L19" s="1">
        <f t="shared" si="9"/>
        <v>0</v>
      </c>
    </row>
    <row r="20" spans="1:12" x14ac:dyDescent="0.2">
      <c r="A20" t="str">
        <f>UPPER(Entry!H19)</f>
        <v>R</v>
      </c>
      <c r="B20">
        <f>Entry!C19</f>
        <v>0</v>
      </c>
      <c r="C20">
        <f t="shared" si="0"/>
        <v>55</v>
      </c>
      <c r="D20">
        <f t="shared" si="6"/>
        <v>55</v>
      </c>
      <c r="E20">
        <f>Entry!G19</f>
        <v>48</v>
      </c>
      <c r="F20" s="12">
        <f>Entry!D19</f>
        <v>0</v>
      </c>
      <c r="G20" s="13">
        <f>Entry!E19</f>
        <v>3.2500000000000001E-2</v>
      </c>
      <c r="H20" s="1">
        <f t="shared" si="7"/>
        <v>0</v>
      </c>
      <c r="I20" s="1">
        <f t="shared" si="5"/>
        <v>0</v>
      </c>
      <c r="J20">
        <f>VLOOKUP(MAX(C20,B20),'pv factors'!A$5:E$54,Entry!M19+Entry!N19)</f>
        <v>188.76</v>
      </c>
      <c r="K20" s="12">
        <f t="shared" si="8"/>
        <v>0</v>
      </c>
      <c r="L20" s="1">
        <f t="shared" si="9"/>
        <v>0</v>
      </c>
    </row>
    <row r="21" spans="1:12" x14ac:dyDescent="0.2">
      <c r="A21" t="str">
        <f>UPPER(Entry!H20)</f>
        <v>R</v>
      </c>
      <c r="B21">
        <f>Entry!C20</f>
        <v>0</v>
      </c>
      <c r="C21">
        <f t="shared" si="0"/>
        <v>55</v>
      </c>
      <c r="D21">
        <f t="shared" si="6"/>
        <v>55</v>
      </c>
      <c r="E21">
        <f>Entry!G20</f>
        <v>48</v>
      </c>
      <c r="F21" s="12">
        <f>Entry!D20</f>
        <v>0</v>
      </c>
      <c r="G21" s="13">
        <f>Entry!E20</f>
        <v>3.2500000000000001E-2</v>
      </c>
      <c r="H21" s="1">
        <f t="shared" si="7"/>
        <v>0</v>
      </c>
      <c r="I21" s="1">
        <f t="shared" si="5"/>
        <v>0</v>
      </c>
      <c r="J21">
        <f>VLOOKUP(MAX(C21,B21),'pv factors'!A$5:E$54,Entry!M20+Entry!N20)</f>
        <v>188.76</v>
      </c>
      <c r="K21" s="12">
        <f t="shared" si="8"/>
        <v>0</v>
      </c>
      <c r="L21" s="1">
        <f t="shared" si="9"/>
        <v>0</v>
      </c>
    </row>
    <row r="22" spans="1:12" x14ac:dyDescent="0.2">
      <c r="A22" t="str">
        <f>UPPER(Entry!H21)</f>
        <v>R</v>
      </c>
      <c r="B22">
        <f>Entry!C21</f>
        <v>0</v>
      </c>
      <c r="C22">
        <f t="shared" si="0"/>
        <v>55</v>
      </c>
      <c r="D22">
        <f t="shared" si="6"/>
        <v>55</v>
      </c>
      <c r="E22">
        <f>Entry!G21</f>
        <v>48</v>
      </c>
      <c r="F22" s="12">
        <f>Entry!D21</f>
        <v>0</v>
      </c>
      <c r="G22" s="13">
        <f>Entry!E21</f>
        <v>3.2500000000000001E-2</v>
      </c>
      <c r="H22" s="1">
        <f t="shared" si="7"/>
        <v>0</v>
      </c>
      <c r="I22" s="1">
        <f t="shared" si="5"/>
        <v>0</v>
      </c>
      <c r="J22">
        <f>VLOOKUP(MAX(C22,B22),'pv factors'!A$5:E$54,Entry!M21+Entry!N21)</f>
        <v>188.76</v>
      </c>
      <c r="K22" s="12">
        <f t="shared" si="8"/>
        <v>0</v>
      </c>
      <c r="L22" s="1">
        <f t="shared" si="9"/>
        <v>0</v>
      </c>
    </row>
    <row r="23" spans="1:12" x14ac:dyDescent="0.2">
      <c r="A23" t="str">
        <f>UPPER(Entry!H22)</f>
        <v>R</v>
      </c>
      <c r="B23">
        <f>Entry!C22</f>
        <v>0</v>
      </c>
      <c r="C23">
        <f t="shared" si="0"/>
        <v>55</v>
      </c>
      <c r="D23">
        <f t="shared" si="6"/>
        <v>55</v>
      </c>
      <c r="E23">
        <f>Entry!G22</f>
        <v>48</v>
      </c>
      <c r="F23" s="12">
        <f>Entry!D22</f>
        <v>0</v>
      </c>
      <c r="G23" s="13">
        <f>Entry!E22</f>
        <v>3.2500000000000001E-2</v>
      </c>
      <c r="H23" s="1">
        <f t="shared" si="7"/>
        <v>0</v>
      </c>
      <c r="I23" s="1">
        <f t="shared" si="5"/>
        <v>0</v>
      </c>
      <c r="J23">
        <f>VLOOKUP(MAX(C23,B23),'pv factors'!A$5:E$54,Entry!M22+Entry!N22)</f>
        <v>188.76</v>
      </c>
      <c r="K23" s="12">
        <f t="shared" si="8"/>
        <v>0</v>
      </c>
      <c r="L23" s="1">
        <f t="shared" si="9"/>
        <v>0</v>
      </c>
    </row>
    <row r="24" spans="1:12" x14ac:dyDescent="0.2">
      <c r="A24" t="str">
        <f>UPPER(Entry!H23)</f>
        <v>R</v>
      </c>
      <c r="B24">
        <f>Entry!C23</f>
        <v>0</v>
      </c>
      <c r="C24">
        <f t="shared" si="0"/>
        <v>55</v>
      </c>
      <c r="D24">
        <f t="shared" si="6"/>
        <v>55</v>
      </c>
      <c r="E24">
        <f>Entry!G23</f>
        <v>48</v>
      </c>
      <c r="F24" s="12">
        <f>Entry!D23</f>
        <v>0</v>
      </c>
      <c r="G24" s="13">
        <f>Entry!E23</f>
        <v>3.2500000000000001E-2</v>
      </c>
      <c r="H24" s="1">
        <f t="shared" si="7"/>
        <v>0</v>
      </c>
      <c r="I24" s="1">
        <f t="shared" si="5"/>
        <v>0</v>
      </c>
      <c r="J24">
        <f>VLOOKUP(MAX(C24,B24),'pv factors'!A$5:E$54,Entry!M23+Entry!N23)</f>
        <v>188.76</v>
      </c>
      <c r="K24" s="12">
        <f t="shared" si="8"/>
        <v>0</v>
      </c>
      <c r="L24" s="1">
        <f t="shared" si="9"/>
        <v>0</v>
      </c>
    </row>
    <row r="25" spans="1:12" x14ac:dyDescent="0.2">
      <c r="A25" t="str">
        <f>UPPER(Entry!H24)</f>
        <v>R</v>
      </c>
      <c r="B25">
        <f>Entry!C24</f>
        <v>0</v>
      </c>
      <c r="C25">
        <f t="shared" si="0"/>
        <v>55</v>
      </c>
      <c r="D25">
        <f t="shared" si="6"/>
        <v>55</v>
      </c>
      <c r="E25">
        <f>Entry!G24</f>
        <v>48</v>
      </c>
      <c r="F25" s="12">
        <f>Entry!D24</f>
        <v>0</v>
      </c>
      <c r="G25" s="13">
        <f>Entry!E24</f>
        <v>3.2500000000000001E-2</v>
      </c>
      <c r="H25" s="1">
        <f t="shared" si="7"/>
        <v>0</v>
      </c>
      <c r="I25" s="1">
        <f t="shared" si="5"/>
        <v>0</v>
      </c>
      <c r="J25">
        <f>VLOOKUP(MAX(C25,B25),'pv factors'!A$5:E$54,Entry!M24+Entry!N24)</f>
        <v>188.76</v>
      </c>
      <c r="K25" s="12">
        <f t="shared" si="8"/>
        <v>0</v>
      </c>
      <c r="L25" s="1">
        <f t="shared" si="9"/>
        <v>0</v>
      </c>
    </row>
    <row r="26" spans="1:12" x14ac:dyDescent="0.2">
      <c r="A26" t="str">
        <f>UPPER(Entry!H25)</f>
        <v>R</v>
      </c>
      <c r="B26">
        <f>Entry!C25</f>
        <v>0</v>
      </c>
      <c r="C26">
        <f t="shared" si="0"/>
        <v>55</v>
      </c>
      <c r="D26">
        <f t="shared" si="6"/>
        <v>55</v>
      </c>
      <c r="E26">
        <f>Entry!G25</f>
        <v>48</v>
      </c>
      <c r="F26" s="12">
        <f>Entry!D25</f>
        <v>0</v>
      </c>
      <c r="G26" s="13">
        <f>Entry!E25</f>
        <v>3.2500000000000001E-2</v>
      </c>
      <c r="H26" s="1">
        <f t="shared" si="7"/>
        <v>0</v>
      </c>
      <c r="I26" s="1">
        <f t="shared" si="5"/>
        <v>0</v>
      </c>
      <c r="J26">
        <f>VLOOKUP(MAX(C26,B26),'pv factors'!A$5:E$54,Entry!M25+Entry!N25)</f>
        <v>188.76</v>
      </c>
      <c r="K26" s="12">
        <f t="shared" si="8"/>
        <v>0</v>
      </c>
      <c r="L26" s="1">
        <f t="shared" si="9"/>
        <v>0</v>
      </c>
    </row>
    <row r="27" spans="1:12" x14ac:dyDescent="0.2">
      <c r="A27" t="str">
        <f>UPPER(Entry!H26)</f>
        <v>R</v>
      </c>
      <c r="B27">
        <f>Entry!C26</f>
        <v>0</v>
      </c>
      <c r="C27">
        <f t="shared" si="0"/>
        <v>55</v>
      </c>
      <c r="D27">
        <f t="shared" si="6"/>
        <v>55</v>
      </c>
      <c r="E27">
        <f>Entry!G26</f>
        <v>48</v>
      </c>
      <c r="F27" s="12">
        <f>Entry!D26</f>
        <v>0</v>
      </c>
      <c r="G27" s="13">
        <f>Entry!E26</f>
        <v>3.2500000000000001E-2</v>
      </c>
      <c r="H27" s="1">
        <f t="shared" si="7"/>
        <v>0</v>
      </c>
      <c r="I27" s="1">
        <f t="shared" si="5"/>
        <v>0</v>
      </c>
      <c r="J27">
        <f>VLOOKUP(MAX(C27,B27),'pv factors'!A$5:E$54,Entry!M26+Entry!N26)</f>
        <v>188.76</v>
      </c>
      <c r="K27" s="12">
        <f t="shared" si="8"/>
        <v>0</v>
      </c>
      <c r="L27" s="1">
        <f t="shared" si="9"/>
        <v>0</v>
      </c>
    </row>
  </sheetData>
  <sheetProtection password="CC56" sheet="1" objects="1" scenarios="1"/>
  <phoneticPr fontId="0" type="noConversion"/>
  <pageMargins left="0.75" right="0.75" top="1" bottom="1" header="0.5" footer="0.5"/>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6"/>
  <sheetViews>
    <sheetView tabSelected="1" workbookViewId="0">
      <selection activeCell="J8" sqref="J8"/>
    </sheetView>
  </sheetViews>
  <sheetFormatPr defaultColWidth="8.85546875" defaultRowHeight="12.75" x14ac:dyDescent="0.2"/>
  <cols>
    <col min="1" max="1" width="21.42578125" customWidth="1"/>
    <col min="2" max="2" width="5.7109375" customWidth="1"/>
    <col min="3" max="3" width="6.85546875" customWidth="1"/>
    <col min="4" max="4" width="13" customWidth="1"/>
    <col min="5" max="5" width="7.28515625" customWidth="1"/>
    <col min="6" max="6" width="13" customWidth="1"/>
    <col min="7" max="7" width="8" customWidth="1"/>
    <col min="8" max="8" width="6" style="2" hidden="1" customWidth="1"/>
    <col min="9" max="9" width="9.42578125" style="2" customWidth="1"/>
    <col min="10" max="10" width="15" style="1" customWidth="1"/>
    <col min="11" max="11" width="14.7109375" style="1" customWidth="1"/>
    <col min="12" max="12" width="7.7109375" customWidth="1"/>
    <col min="13" max="15" width="9.140625" hidden="1" customWidth="1"/>
  </cols>
  <sheetData>
    <row r="1" spans="1:15" ht="15.75" x14ac:dyDescent="0.25">
      <c r="A1" s="20">
        <f ca="1">TODAY()</f>
        <v>45268</v>
      </c>
      <c r="D1" t="s">
        <v>61</v>
      </c>
    </row>
    <row r="2" spans="1:15" x14ac:dyDescent="0.2">
      <c r="A2" s="21" t="s">
        <v>62</v>
      </c>
      <c r="D2" t="s">
        <v>25</v>
      </c>
      <c r="N2" t="s">
        <v>57</v>
      </c>
      <c r="O2" t="s">
        <v>53</v>
      </c>
    </row>
    <row r="3" spans="1:15" x14ac:dyDescent="0.2">
      <c r="M3" t="s">
        <v>5</v>
      </c>
      <c r="N3" t="s">
        <v>58</v>
      </c>
      <c r="O3" t="s">
        <v>54</v>
      </c>
    </row>
    <row r="4" spans="1:15" x14ac:dyDescent="0.2">
      <c r="F4" s="4" t="s">
        <v>26</v>
      </c>
      <c r="G4" s="4"/>
      <c r="J4" s="2" t="s">
        <v>27</v>
      </c>
      <c r="K4" s="2" t="s">
        <v>64</v>
      </c>
      <c r="M4" t="s">
        <v>51</v>
      </c>
      <c r="N4" s="47" t="s">
        <v>55</v>
      </c>
      <c r="O4" s="2" t="s">
        <v>67</v>
      </c>
    </row>
    <row r="5" spans="1:15" x14ac:dyDescent="0.2">
      <c r="C5" s="4" t="s">
        <v>28</v>
      </c>
      <c r="D5" s="4" t="s">
        <v>29</v>
      </c>
      <c r="E5" s="4" t="s">
        <v>15</v>
      </c>
      <c r="F5" s="4" t="s">
        <v>29</v>
      </c>
      <c r="G5" s="4" t="s">
        <v>30</v>
      </c>
      <c r="J5" s="2" t="s">
        <v>31</v>
      </c>
      <c r="K5" s="2" t="s">
        <v>63</v>
      </c>
      <c r="M5" t="s">
        <v>52</v>
      </c>
      <c r="N5" t="s">
        <v>56</v>
      </c>
      <c r="O5" t="s">
        <v>47</v>
      </c>
    </row>
    <row r="6" spans="1:15" x14ac:dyDescent="0.2">
      <c r="C6" s="4" t="s">
        <v>14</v>
      </c>
      <c r="D6" s="7" t="s">
        <v>14</v>
      </c>
      <c r="E6" s="7" t="s">
        <v>23</v>
      </c>
      <c r="F6" s="6" t="s">
        <v>32</v>
      </c>
      <c r="G6" s="6" t="s">
        <v>33</v>
      </c>
      <c r="H6" s="2" t="s">
        <v>34</v>
      </c>
      <c r="I6" s="2" t="s">
        <v>59</v>
      </c>
      <c r="J6" s="2" t="s">
        <v>35</v>
      </c>
      <c r="K6" s="2" t="s">
        <v>36</v>
      </c>
      <c r="N6" s="2" t="s">
        <v>37</v>
      </c>
    </row>
    <row r="7" spans="1:15" ht="13.5" customHeight="1" x14ac:dyDescent="0.2">
      <c r="A7" s="5" t="s">
        <v>38</v>
      </c>
      <c r="B7" s="5" t="s">
        <v>45</v>
      </c>
      <c r="C7" s="5" t="s">
        <v>2</v>
      </c>
      <c r="D7" s="5" t="s">
        <v>39</v>
      </c>
      <c r="E7" s="5" t="s">
        <v>40</v>
      </c>
      <c r="F7" s="5" t="s">
        <v>36</v>
      </c>
      <c r="G7" s="5" t="s">
        <v>41</v>
      </c>
      <c r="H7" s="3" t="s">
        <v>42</v>
      </c>
      <c r="I7" s="3" t="s">
        <v>60</v>
      </c>
      <c r="J7" s="3" t="s">
        <v>43</v>
      </c>
      <c r="K7" s="3" t="s">
        <v>44</v>
      </c>
      <c r="M7" s="19" t="s">
        <v>45</v>
      </c>
      <c r="N7" s="19" t="s">
        <v>46</v>
      </c>
    </row>
    <row r="8" spans="1:15" ht="12.75" customHeight="1" x14ac:dyDescent="0.2">
      <c r="A8" s="28"/>
      <c r="B8" s="29" t="s">
        <v>51</v>
      </c>
      <c r="C8" s="29">
        <v>45</v>
      </c>
      <c r="D8" s="30">
        <v>50000</v>
      </c>
      <c r="E8" s="31">
        <v>3.2500000000000001E-2</v>
      </c>
      <c r="F8" s="42">
        <v>15000</v>
      </c>
      <c r="G8" s="48">
        <v>48</v>
      </c>
      <c r="H8" s="32" t="str">
        <f t="shared" ref="H8:H26" si="0">VLOOKUP(I8,$N$2:$O$5,2)</f>
        <v>R</v>
      </c>
      <c r="I8" s="33" t="s">
        <v>55</v>
      </c>
      <c r="J8" s="22">
        <f>IF(AND(C8&gt;0,D8&gt;0),calcs!L9,0)</f>
        <v>45186.49</v>
      </c>
      <c r="K8" s="23">
        <f>J8-F8</f>
        <v>30186.489999999998</v>
      </c>
      <c r="M8">
        <f t="shared" ref="M8:M14" si="1">IF(B8="M",1,2)</f>
        <v>1</v>
      </c>
      <c r="N8">
        <f>IF(OR(UPPER(H8)="A", UPPER(H8)="E"),3,1)</f>
        <v>1</v>
      </c>
    </row>
    <row r="9" spans="1:15" ht="12.75" customHeight="1" x14ac:dyDescent="0.2">
      <c r="A9" s="34"/>
      <c r="B9" s="35" t="s">
        <v>51</v>
      </c>
      <c r="C9" s="35"/>
      <c r="D9" s="36"/>
      <c r="E9" s="37">
        <v>3.2500000000000001E-2</v>
      </c>
      <c r="F9" s="36"/>
      <c r="G9" s="38">
        <v>48</v>
      </c>
      <c r="H9" s="39" t="str">
        <f t="shared" si="0"/>
        <v>R</v>
      </c>
      <c r="I9" s="40" t="s">
        <v>55</v>
      </c>
      <c r="J9" s="24">
        <f>IF(AND(C9&gt;0,D9&gt;0),calcs!L10,0)</f>
        <v>0</v>
      </c>
      <c r="K9" s="25">
        <f t="shared" ref="K9:K26" si="2">J9-F9</f>
        <v>0</v>
      </c>
      <c r="M9">
        <f t="shared" si="1"/>
        <v>1</v>
      </c>
      <c r="N9">
        <f t="shared" ref="N9:N14" si="3">IF(OR(UPPER(H9)="A", UPPER(H9)="E"),3,1)</f>
        <v>1</v>
      </c>
    </row>
    <row r="10" spans="1:15" ht="12.75" customHeight="1" x14ac:dyDescent="0.2">
      <c r="A10" s="34"/>
      <c r="B10" s="35" t="s">
        <v>51</v>
      </c>
      <c r="C10" s="35"/>
      <c r="D10" s="36">
        <v>0</v>
      </c>
      <c r="E10" s="37">
        <v>3.2500000000000001E-2</v>
      </c>
      <c r="F10" s="36">
        <v>0</v>
      </c>
      <c r="G10" s="38">
        <v>48</v>
      </c>
      <c r="H10" s="39" t="str">
        <f t="shared" si="0"/>
        <v>R</v>
      </c>
      <c r="I10" s="40" t="s">
        <v>55</v>
      </c>
      <c r="J10" s="24">
        <f>IF(AND(C10&gt;0,D10&gt;0),calcs!L11,0)</f>
        <v>0</v>
      </c>
      <c r="K10" s="25">
        <f t="shared" si="2"/>
        <v>0</v>
      </c>
      <c r="M10">
        <f t="shared" si="1"/>
        <v>1</v>
      </c>
      <c r="N10">
        <f t="shared" si="3"/>
        <v>1</v>
      </c>
    </row>
    <row r="11" spans="1:15" ht="12.75" customHeight="1" x14ac:dyDescent="0.2">
      <c r="A11" s="34"/>
      <c r="B11" s="35" t="s">
        <v>51</v>
      </c>
      <c r="C11" s="35"/>
      <c r="D11" s="36">
        <v>0</v>
      </c>
      <c r="E11" s="37">
        <v>3.2500000000000001E-2</v>
      </c>
      <c r="F11" s="36">
        <v>0</v>
      </c>
      <c r="G11" s="38">
        <v>48</v>
      </c>
      <c r="H11" s="39" t="str">
        <f t="shared" si="0"/>
        <v>R</v>
      </c>
      <c r="I11" s="40" t="s">
        <v>55</v>
      </c>
      <c r="J11" s="24">
        <f>IF(AND(C11&gt;0,D11&gt;0),calcs!L12,0)</f>
        <v>0</v>
      </c>
      <c r="K11" s="25">
        <f t="shared" si="2"/>
        <v>0</v>
      </c>
      <c r="M11">
        <f t="shared" si="1"/>
        <v>1</v>
      </c>
      <c r="N11">
        <f t="shared" si="3"/>
        <v>1</v>
      </c>
    </row>
    <row r="12" spans="1:15" ht="12.75" customHeight="1" x14ac:dyDescent="0.2">
      <c r="A12" s="34"/>
      <c r="B12" s="35" t="s">
        <v>51</v>
      </c>
      <c r="C12" s="35"/>
      <c r="D12" s="36">
        <v>0</v>
      </c>
      <c r="E12" s="37">
        <v>3.2500000000000001E-2</v>
      </c>
      <c r="F12" s="36">
        <v>0</v>
      </c>
      <c r="G12" s="38">
        <v>48</v>
      </c>
      <c r="H12" s="39" t="str">
        <f t="shared" si="0"/>
        <v>R</v>
      </c>
      <c r="I12" s="40" t="s">
        <v>55</v>
      </c>
      <c r="J12" s="24">
        <f>IF(AND(C12&gt;0,D12&gt;0),calcs!L13,0)</f>
        <v>0</v>
      </c>
      <c r="K12" s="25">
        <f t="shared" si="2"/>
        <v>0</v>
      </c>
      <c r="M12">
        <f t="shared" si="1"/>
        <v>1</v>
      </c>
      <c r="N12">
        <f t="shared" si="3"/>
        <v>1</v>
      </c>
    </row>
    <row r="13" spans="1:15" ht="12.75" customHeight="1" x14ac:dyDescent="0.2">
      <c r="A13" s="34"/>
      <c r="B13" s="35" t="s">
        <v>51</v>
      </c>
      <c r="C13" s="35"/>
      <c r="D13" s="36">
        <v>0</v>
      </c>
      <c r="E13" s="37">
        <v>3.2500000000000001E-2</v>
      </c>
      <c r="F13" s="36">
        <v>0</v>
      </c>
      <c r="G13" s="38">
        <v>48</v>
      </c>
      <c r="H13" s="39" t="str">
        <f t="shared" si="0"/>
        <v>R</v>
      </c>
      <c r="I13" s="40" t="s">
        <v>55</v>
      </c>
      <c r="J13" s="24">
        <f>IF(AND(C13&gt;0,D13&gt;0),calcs!L14,0)</f>
        <v>0</v>
      </c>
      <c r="K13" s="25">
        <f t="shared" si="2"/>
        <v>0</v>
      </c>
      <c r="M13">
        <f t="shared" si="1"/>
        <v>1</v>
      </c>
      <c r="N13">
        <f t="shared" si="3"/>
        <v>1</v>
      </c>
    </row>
    <row r="14" spans="1:15" ht="12.75" customHeight="1" x14ac:dyDescent="0.2">
      <c r="A14" s="34"/>
      <c r="B14" s="35" t="s">
        <v>51</v>
      </c>
      <c r="C14" s="35"/>
      <c r="D14" s="36">
        <v>0</v>
      </c>
      <c r="E14" s="37">
        <v>3.2500000000000001E-2</v>
      </c>
      <c r="F14" s="36">
        <v>0</v>
      </c>
      <c r="G14" s="38">
        <v>48</v>
      </c>
      <c r="H14" s="39" t="str">
        <f t="shared" si="0"/>
        <v>R</v>
      </c>
      <c r="I14" s="40" t="s">
        <v>55</v>
      </c>
      <c r="J14" s="24">
        <f>IF(AND(C14&gt;0,D14&gt;0),calcs!L15,0)</f>
        <v>0</v>
      </c>
      <c r="K14" s="25">
        <f t="shared" si="2"/>
        <v>0</v>
      </c>
      <c r="M14">
        <f t="shared" si="1"/>
        <v>1</v>
      </c>
      <c r="N14">
        <f t="shared" si="3"/>
        <v>1</v>
      </c>
    </row>
    <row r="15" spans="1:15" x14ac:dyDescent="0.2">
      <c r="A15" s="34"/>
      <c r="B15" s="35" t="s">
        <v>51</v>
      </c>
      <c r="C15" s="35"/>
      <c r="D15" s="36">
        <v>0</v>
      </c>
      <c r="E15" s="37">
        <v>3.2500000000000001E-2</v>
      </c>
      <c r="F15" s="36">
        <v>0</v>
      </c>
      <c r="G15" s="38">
        <v>48</v>
      </c>
      <c r="H15" s="39" t="str">
        <f t="shared" si="0"/>
        <v>R</v>
      </c>
      <c r="I15" s="40" t="s">
        <v>55</v>
      </c>
      <c r="J15" s="24">
        <f>IF(AND(C15&gt;0,D15&gt;0),calcs!L16,0)</f>
        <v>0</v>
      </c>
      <c r="K15" s="25">
        <f t="shared" si="2"/>
        <v>0</v>
      </c>
      <c r="L15" s="1"/>
      <c r="M15">
        <f t="shared" ref="M15:M26" si="4">IF(B15="M",1,2)</f>
        <v>1</v>
      </c>
      <c r="N15">
        <f t="shared" ref="N15:N26" si="5">IF(OR(UPPER(H15)="A", UPPER(H15)="E"),3,1)</f>
        <v>1</v>
      </c>
    </row>
    <row r="16" spans="1:15" x14ac:dyDescent="0.2">
      <c r="A16" s="34"/>
      <c r="B16" s="35" t="s">
        <v>51</v>
      </c>
      <c r="C16" s="35"/>
      <c r="D16" s="36">
        <v>0</v>
      </c>
      <c r="E16" s="37">
        <v>3.2500000000000001E-2</v>
      </c>
      <c r="F16" s="36">
        <v>0</v>
      </c>
      <c r="G16" s="38">
        <v>48</v>
      </c>
      <c r="H16" s="39" t="str">
        <f t="shared" si="0"/>
        <v>R</v>
      </c>
      <c r="I16" s="40" t="s">
        <v>55</v>
      </c>
      <c r="J16" s="24">
        <f>IF(AND(C16&gt;0,D16&gt;0),calcs!L17,0)</f>
        <v>0</v>
      </c>
      <c r="K16" s="25">
        <f t="shared" si="2"/>
        <v>0</v>
      </c>
      <c r="M16">
        <f t="shared" si="4"/>
        <v>1</v>
      </c>
      <c r="N16">
        <f t="shared" si="5"/>
        <v>1</v>
      </c>
    </row>
    <row r="17" spans="1:14" x14ac:dyDescent="0.2">
      <c r="A17" s="34"/>
      <c r="B17" s="35" t="s">
        <v>51</v>
      </c>
      <c r="C17" s="35"/>
      <c r="D17" s="36">
        <v>0</v>
      </c>
      <c r="E17" s="37">
        <v>3.2500000000000001E-2</v>
      </c>
      <c r="F17" s="36">
        <v>0</v>
      </c>
      <c r="G17" s="38">
        <v>48</v>
      </c>
      <c r="H17" s="39" t="str">
        <f t="shared" si="0"/>
        <v>R</v>
      </c>
      <c r="I17" s="40" t="s">
        <v>55</v>
      </c>
      <c r="J17" s="24">
        <f>IF(AND(C17&gt;0,D17&gt;0),calcs!L18,0)</f>
        <v>0</v>
      </c>
      <c r="K17" s="25">
        <f t="shared" si="2"/>
        <v>0</v>
      </c>
      <c r="M17">
        <f t="shared" si="4"/>
        <v>1</v>
      </c>
      <c r="N17">
        <f t="shared" si="5"/>
        <v>1</v>
      </c>
    </row>
    <row r="18" spans="1:14" ht="13.5" customHeight="1" x14ac:dyDescent="0.2">
      <c r="A18" s="34"/>
      <c r="B18" s="35" t="s">
        <v>51</v>
      </c>
      <c r="C18" s="35"/>
      <c r="D18" s="36">
        <v>0</v>
      </c>
      <c r="E18" s="37">
        <v>3.2500000000000001E-2</v>
      </c>
      <c r="F18" s="36">
        <v>0</v>
      </c>
      <c r="G18" s="38">
        <v>48</v>
      </c>
      <c r="H18" s="39" t="str">
        <f t="shared" si="0"/>
        <v>R</v>
      </c>
      <c r="I18" s="40" t="s">
        <v>55</v>
      </c>
      <c r="J18" s="24">
        <f>IF(AND(C18&gt;0,D18&gt;0),calcs!L19,0)</f>
        <v>0</v>
      </c>
      <c r="K18" s="25">
        <f t="shared" si="2"/>
        <v>0</v>
      </c>
      <c r="M18">
        <f t="shared" si="4"/>
        <v>1</v>
      </c>
      <c r="N18">
        <f t="shared" si="5"/>
        <v>1</v>
      </c>
    </row>
    <row r="19" spans="1:14" x14ac:dyDescent="0.2">
      <c r="A19" s="34"/>
      <c r="B19" s="35" t="s">
        <v>51</v>
      </c>
      <c r="C19" s="35"/>
      <c r="D19" s="36">
        <v>0</v>
      </c>
      <c r="E19" s="37">
        <v>3.2500000000000001E-2</v>
      </c>
      <c r="F19" s="36">
        <v>0</v>
      </c>
      <c r="G19" s="38">
        <v>48</v>
      </c>
      <c r="H19" s="39" t="str">
        <f t="shared" si="0"/>
        <v>R</v>
      </c>
      <c r="I19" s="40" t="s">
        <v>55</v>
      </c>
      <c r="J19" s="24">
        <f>IF(AND(C19&gt;0,D19&gt;0),calcs!L20,0)</f>
        <v>0</v>
      </c>
      <c r="K19" s="25">
        <f t="shared" si="2"/>
        <v>0</v>
      </c>
      <c r="M19">
        <f t="shared" si="4"/>
        <v>1</v>
      </c>
      <c r="N19">
        <f t="shared" si="5"/>
        <v>1</v>
      </c>
    </row>
    <row r="20" spans="1:14" x14ac:dyDescent="0.2">
      <c r="A20" s="34"/>
      <c r="B20" s="35" t="s">
        <v>51</v>
      </c>
      <c r="C20" s="35"/>
      <c r="D20" s="36">
        <v>0</v>
      </c>
      <c r="E20" s="37">
        <v>3.2500000000000001E-2</v>
      </c>
      <c r="F20" s="36">
        <v>0</v>
      </c>
      <c r="G20" s="38">
        <v>48</v>
      </c>
      <c r="H20" s="39" t="str">
        <f t="shared" si="0"/>
        <v>R</v>
      </c>
      <c r="I20" s="40" t="s">
        <v>55</v>
      </c>
      <c r="J20" s="24">
        <f>IF(AND(C20&gt;0,D20&gt;0),calcs!L21,0)</f>
        <v>0</v>
      </c>
      <c r="K20" s="25">
        <f t="shared" si="2"/>
        <v>0</v>
      </c>
      <c r="M20">
        <f t="shared" si="4"/>
        <v>1</v>
      </c>
      <c r="N20">
        <f t="shared" si="5"/>
        <v>1</v>
      </c>
    </row>
    <row r="21" spans="1:14" x14ac:dyDescent="0.2">
      <c r="A21" s="34"/>
      <c r="B21" s="35" t="s">
        <v>51</v>
      </c>
      <c r="C21" s="35"/>
      <c r="D21" s="36">
        <v>0</v>
      </c>
      <c r="E21" s="37">
        <v>3.2500000000000001E-2</v>
      </c>
      <c r="F21" s="36">
        <v>0</v>
      </c>
      <c r="G21" s="38">
        <v>48</v>
      </c>
      <c r="H21" s="39" t="str">
        <f t="shared" si="0"/>
        <v>R</v>
      </c>
      <c r="I21" s="40" t="s">
        <v>55</v>
      </c>
      <c r="J21" s="24">
        <f>IF(AND(C21&gt;0,D21&gt;0),calcs!L22,0)</f>
        <v>0</v>
      </c>
      <c r="K21" s="25">
        <f t="shared" si="2"/>
        <v>0</v>
      </c>
      <c r="M21">
        <f t="shared" si="4"/>
        <v>1</v>
      </c>
      <c r="N21">
        <f t="shared" si="5"/>
        <v>1</v>
      </c>
    </row>
    <row r="22" spans="1:14" x14ac:dyDescent="0.2">
      <c r="A22" s="34"/>
      <c r="B22" s="35" t="s">
        <v>51</v>
      </c>
      <c r="C22" s="35"/>
      <c r="D22" s="36">
        <v>0</v>
      </c>
      <c r="E22" s="37">
        <v>3.2500000000000001E-2</v>
      </c>
      <c r="F22" s="36">
        <v>0</v>
      </c>
      <c r="G22" s="38">
        <v>48</v>
      </c>
      <c r="H22" s="39" t="str">
        <f t="shared" si="0"/>
        <v>R</v>
      </c>
      <c r="I22" s="40" t="s">
        <v>55</v>
      </c>
      <c r="J22" s="24">
        <f>IF(AND(C22&gt;0,D22&gt;0),calcs!L23,0)</f>
        <v>0</v>
      </c>
      <c r="K22" s="25">
        <f t="shared" si="2"/>
        <v>0</v>
      </c>
      <c r="M22">
        <f t="shared" si="4"/>
        <v>1</v>
      </c>
      <c r="N22">
        <f t="shared" si="5"/>
        <v>1</v>
      </c>
    </row>
    <row r="23" spans="1:14" x14ac:dyDescent="0.2">
      <c r="A23" s="34"/>
      <c r="B23" s="35" t="s">
        <v>51</v>
      </c>
      <c r="C23" s="35"/>
      <c r="D23" s="36">
        <v>0</v>
      </c>
      <c r="E23" s="37">
        <v>3.2500000000000001E-2</v>
      </c>
      <c r="F23" s="36">
        <v>0</v>
      </c>
      <c r="G23" s="38">
        <v>48</v>
      </c>
      <c r="H23" s="39" t="str">
        <f t="shared" si="0"/>
        <v>R</v>
      </c>
      <c r="I23" s="40" t="s">
        <v>55</v>
      </c>
      <c r="J23" s="24">
        <f>IF(AND(C23&gt;0,D23&gt;0),calcs!L24,0)</f>
        <v>0</v>
      </c>
      <c r="K23" s="25">
        <f t="shared" si="2"/>
        <v>0</v>
      </c>
      <c r="M23">
        <f t="shared" si="4"/>
        <v>1</v>
      </c>
      <c r="N23">
        <f t="shared" si="5"/>
        <v>1</v>
      </c>
    </row>
    <row r="24" spans="1:14" x14ac:dyDescent="0.2">
      <c r="A24" s="34"/>
      <c r="B24" s="35" t="s">
        <v>51</v>
      </c>
      <c r="C24" s="35"/>
      <c r="D24" s="36">
        <v>0</v>
      </c>
      <c r="E24" s="37">
        <v>3.2500000000000001E-2</v>
      </c>
      <c r="F24" s="36">
        <v>0</v>
      </c>
      <c r="G24" s="38">
        <v>48</v>
      </c>
      <c r="H24" s="39" t="str">
        <f t="shared" si="0"/>
        <v>R</v>
      </c>
      <c r="I24" s="40" t="s">
        <v>55</v>
      </c>
      <c r="J24" s="24">
        <f>IF(AND(C24&gt;0,D24&gt;0),calcs!L25,0)</f>
        <v>0</v>
      </c>
      <c r="K24" s="25">
        <f t="shared" si="2"/>
        <v>0</v>
      </c>
      <c r="M24">
        <f t="shared" si="4"/>
        <v>1</v>
      </c>
      <c r="N24">
        <f t="shared" si="5"/>
        <v>1</v>
      </c>
    </row>
    <row r="25" spans="1:14" x14ac:dyDescent="0.2">
      <c r="A25" s="34"/>
      <c r="B25" s="35" t="s">
        <v>51</v>
      </c>
      <c r="C25" s="35"/>
      <c r="D25" s="36">
        <v>0</v>
      </c>
      <c r="E25" s="37">
        <v>3.2500000000000001E-2</v>
      </c>
      <c r="F25" s="42">
        <v>0</v>
      </c>
      <c r="G25" s="38">
        <v>48</v>
      </c>
      <c r="H25" s="39" t="str">
        <f t="shared" si="0"/>
        <v>R</v>
      </c>
      <c r="I25" s="40" t="s">
        <v>55</v>
      </c>
      <c r="J25" s="24">
        <f>IF(AND(C25&gt;0,D25&gt;0),calcs!L26,0)</f>
        <v>0</v>
      </c>
      <c r="K25" s="25">
        <f t="shared" si="2"/>
        <v>0</v>
      </c>
      <c r="M25">
        <f t="shared" si="4"/>
        <v>1</v>
      </c>
      <c r="N25">
        <f t="shared" si="5"/>
        <v>1</v>
      </c>
    </row>
    <row r="26" spans="1:14" x14ac:dyDescent="0.2">
      <c r="A26" s="34"/>
      <c r="B26" s="35" t="s">
        <v>51</v>
      </c>
      <c r="C26" s="35"/>
      <c r="D26" s="36">
        <v>0</v>
      </c>
      <c r="E26" s="37">
        <v>3.2500000000000001E-2</v>
      </c>
      <c r="F26" s="41">
        <v>0</v>
      </c>
      <c r="G26" s="38">
        <v>48</v>
      </c>
      <c r="H26" s="39" t="str">
        <f t="shared" si="0"/>
        <v>R</v>
      </c>
      <c r="I26" s="40" t="s">
        <v>55</v>
      </c>
      <c r="J26" s="26">
        <f>IF(AND(C26&gt;0,D26&gt;0),calcs!L27,0)</f>
        <v>0</v>
      </c>
      <c r="K26" s="27">
        <f t="shared" si="2"/>
        <v>0</v>
      </c>
      <c r="M26">
        <f t="shared" si="4"/>
        <v>1</v>
      </c>
      <c r="N26">
        <f t="shared" si="5"/>
        <v>1</v>
      </c>
    </row>
    <row r="27" spans="1:14" x14ac:dyDescent="0.2">
      <c r="C27" s="11"/>
      <c r="D27" s="8"/>
      <c r="E27" s="8"/>
      <c r="F27" s="8"/>
      <c r="G27" s="9"/>
      <c r="H27" s="10"/>
      <c r="I27" s="10"/>
    </row>
    <row r="28" spans="1:14" x14ac:dyDescent="0.2">
      <c r="A28" s="43" t="s">
        <v>65</v>
      </c>
      <c r="B28" s="44"/>
      <c r="C28" s="44"/>
      <c r="D28" s="44"/>
      <c r="E28" s="44"/>
      <c r="F28" s="45">
        <f>SUM(F8:F27)</f>
        <v>15000</v>
      </c>
      <c r="G28" s="44"/>
      <c r="H28" s="3"/>
      <c r="I28" s="3"/>
      <c r="J28" s="45">
        <f>SUM(J8:J26)</f>
        <v>45186.49</v>
      </c>
      <c r="K28" s="45">
        <f>SUM(K8:K26)</f>
        <v>30186.489999999998</v>
      </c>
    </row>
    <row r="29" spans="1:14" x14ac:dyDescent="0.2">
      <c r="F29" s="71"/>
      <c r="H29" s="72"/>
      <c r="I29" s="72"/>
      <c r="J29" s="71"/>
      <c r="K29" s="71"/>
    </row>
    <row r="30" spans="1:14" x14ac:dyDescent="0.2">
      <c r="A30" s="18" t="s">
        <v>0</v>
      </c>
      <c r="F30" s="71"/>
      <c r="H30" s="72"/>
      <c r="I30" s="72"/>
      <c r="J30" s="71"/>
      <c r="K30" s="71"/>
    </row>
    <row r="32" spans="1:14" ht="78.75" customHeight="1" x14ac:dyDescent="0.2">
      <c r="A32" s="75" t="s">
        <v>124</v>
      </c>
      <c r="B32" s="75"/>
      <c r="C32" s="75"/>
      <c r="D32" s="75"/>
      <c r="E32" s="75"/>
      <c r="F32" s="75"/>
      <c r="G32" s="75"/>
      <c r="H32" s="75"/>
      <c r="I32" s="75"/>
      <c r="J32" s="75"/>
      <c r="K32" s="75"/>
      <c r="L32" s="75"/>
    </row>
    <row r="34" spans="1:12" ht="37.5" customHeight="1" x14ac:dyDescent="0.2">
      <c r="A34" s="75" t="s">
        <v>123</v>
      </c>
      <c r="B34" s="75"/>
      <c r="C34" s="75"/>
      <c r="D34" s="75"/>
      <c r="E34" s="75"/>
      <c r="F34" s="75"/>
      <c r="G34" s="75"/>
      <c r="H34" s="75"/>
      <c r="I34" s="75"/>
      <c r="J34" s="75"/>
      <c r="K34" s="75"/>
      <c r="L34" s="75"/>
    </row>
    <row r="36" spans="1:12" ht="15.75" x14ac:dyDescent="0.25">
      <c r="A36" s="46" t="s">
        <v>66</v>
      </c>
    </row>
  </sheetData>
  <sheetProtection algorithmName="SHA-512" hashValue="5QXQzLhsiYzyAf1mCJAakGSIlmpW9Ijz4v0GAVnLyKNRVle6mNvmyPiwuxtqQj6+avKVwFNeDThpMQvduP8RmA==" saltValue="Cd25OrnRjDev7uILzzv56w==" spinCount="100000" sheet="1" objects="1" scenarios="1"/>
  <mergeCells count="2">
    <mergeCell ref="A32:L32"/>
    <mergeCell ref="A34:L34"/>
  </mergeCells>
  <phoneticPr fontId="0" type="noConversion"/>
  <dataValidations count="5">
    <dataValidation type="whole" allowBlank="1" showInputMessage="1" showErrorMessage="1" errorTitle="Error" error="Age can be any whole number between 20 and 85" sqref="C8:C17" xr:uid="{00000000-0002-0000-0200-000000000000}">
      <formula1>20</formula1>
      <formula2>85</formula2>
    </dataValidation>
    <dataValidation type="decimal" showInputMessage="1" showErrorMessage="1" errorTitle="Error" error="Salary growth rate may only be within the rage of 0% (0.00) to 10% (0.10)" sqref="E8:E26" xr:uid="{00000000-0002-0000-0200-000001000000}">
      <formula1>0</formula1>
      <formula2>0.1</formula2>
    </dataValidation>
    <dataValidation type="list" allowBlank="1" showInputMessage="1" showErrorMessage="1" sqref="B8:B26" xr:uid="{00000000-0002-0000-0200-000002000000}">
      <formula1>$M$4:$M$5</formula1>
    </dataValidation>
    <dataValidation type="list" allowBlank="1" showInputMessage="1" showErrorMessage="1" sqref="I8:I26" xr:uid="{00000000-0002-0000-0200-000003000000}">
      <formula1>$N$2:$N$5</formula1>
    </dataValidation>
    <dataValidation type="whole" allowBlank="1" showInputMessage="1" showErrorMessage="1" errorTitle="Error" error="Military service is limited to 48 months and must be at least 1 month_x000a_" sqref="G8:G26" xr:uid="{00000000-0002-0000-0200-000004000000}">
      <formula1>1</formula1>
      <formula2>48</formula2>
    </dataValidation>
  </dataValidations>
  <pageMargins left="0.75" right="0.75" top="0.5" bottom="0.48" header="0.5" footer="0.5"/>
  <pageSetup orientation="landscape" horizontalDpi="4294967292"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1"/>
  <sheetViews>
    <sheetView workbookViewId="0">
      <selection activeCell="A2" sqref="A2"/>
    </sheetView>
  </sheetViews>
  <sheetFormatPr defaultColWidth="8.85546875" defaultRowHeight="12.75" x14ac:dyDescent="0.2"/>
  <cols>
    <col min="1" max="1" width="15.140625" style="4" customWidth="1"/>
    <col min="2" max="2" width="30.140625" customWidth="1"/>
    <col min="3" max="3" width="16.140625" style="50" customWidth="1"/>
    <col min="4" max="5" width="9.140625" style="50" customWidth="1"/>
  </cols>
  <sheetData>
    <row r="1" spans="1:5" ht="15.75" x14ac:dyDescent="0.25">
      <c r="B1" s="49" t="s">
        <v>68</v>
      </c>
    </row>
    <row r="2" spans="1:5" ht="15.75" x14ac:dyDescent="0.25">
      <c r="A2" s="51" t="s">
        <v>62</v>
      </c>
      <c r="B2" s="49" t="s">
        <v>69</v>
      </c>
    </row>
    <row r="3" spans="1:5" ht="15.75" x14ac:dyDescent="0.25">
      <c r="B3" s="49"/>
    </row>
    <row r="4" spans="1:5" x14ac:dyDescent="0.2">
      <c r="A4" s="73" t="s">
        <v>119</v>
      </c>
      <c r="B4" s="74" t="s">
        <v>120</v>
      </c>
    </row>
    <row r="5" spans="1:5" ht="49.5" customHeight="1" x14ac:dyDescent="0.25">
      <c r="A5" s="76" t="str">
        <f ca="1">CONCATENATE("Rate changes due to member purchaseing military service, will first appear 2 years after the purchase. i.e. for purchase in ",'Funding Fctr'!I2," the change to your ",'Funding Fctr'!G2," rate would have been as follows:")</f>
        <v>Rate changes due to member purchaseing military service, will first appear 2 years after the purchase. i.e. for purchase in 2022 the change to your 2024 rate would have been as follows:</v>
      </c>
      <c r="B5" s="76"/>
      <c r="C5" s="76"/>
      <c r="D5" s="76"/>
      <c r="E5" s="76"/>
    </row>
    <row r="7" spans="1:5" x14ac:dyDescent="0.2">
      <c r="A7" s="4" t="s">
        <v>26</v>
      </c>
      <c r="B7" t="s">
        <v>70</v>
      </c>
      <c r="C7" s="69">
        <f>Entry!K28</f>
        <v>30186.489999999998</v>
      </c>
    </row>
    <row r="8" spans="1:5" x14ac:dyDescent="0.2">
      <c r="A8" s="4" t="s">
        <v>27</v>
      </c>
      <c r="B8" s="53" t="str">
        <f ca="1">'Funding Fctr'!A11</f>
        <v>Times 19 year Amortization Factor</v>
      </c>
      <c r="C8" s="54">
        <f ca="1">'Funding Fctr'!B5</f>
        <v>8.8943258999999997E-2</v>
      </c>
      <c r="D8" s="55" t="s">
        <v>71</v>
      </c>
    </row>
    <row r="9" spans="1:5" x14ac:dyDescent="0.2">
      <c r="A9" s="4" t="s">
        <v>72</v>
      </c>
      <c r="B9" s="56" t="s">
        <v>73</v>
      </c>
      <c r="C9" s="50">
        <f ca="1">ROUND(C7*C8,2)</f>
        <v>2684.88</v>
      </c>
    </row>
    <row r="11" spans="1:5" ht="38.25" customHeight="1" x14ac:dyDescent="0.2">
      <c r="A11" s="4" t="s">
        <v>74</v>
      </c>
      <c r="B11" s="57" t="str">
        <f ca="1">'Funding Fctr'!A12 &amp; " - This number can be found in your GASB footnote disclosure"</f>
        <v>Annual covered payroll for 2022 - This number can be found in your GASB footnote disclosure</v>
      </c>
      <c r="C11" s="52">
        <v>5372408.9400000004</v>
      </c>
    </row>
    <row r="13" spans="1:5" x14ac:dyDescent="0.2">
      <c r="B13" s="18" t="str">
        <f ca="1">CONCATENATE("Estimated increase to Employer rate for ",'Funding Fctr'!G2)</f>
        <v>Estimated increase to Employer rate for 2024</v>
      </c>
    </row>
    <row r="14" spans="1:5" x14ac:dyDescent="0.2">
      <c r="A14" s="4" t="s">
        <v>75</v>
      </c>
      <c r="B14" t="s">
        <v>76</v>
      </c>
      <c r="C14" s="58">
        <f ca="1">C9/C11</f>
        <v>4.9975346813416622E-4</v>
      </c>
    </row>
    <row r="15" spans="1:5" x14ac:dyDescent="0.2">
      <c r="B15" t="s">
        <v>77</v>
      </c>
      <c r="C15" s="59">
        <f ca="1">C14</f>
        <v>4.9975346813416622E-4</v>
      </c>
    </row>
    <row r="17" spans="1:3" ht="27" customHeight="1" x14ac:dyDescent="0.2">
      <c r="B17" s="70" t="str">
        <f ca="1">CONCATENATE('Funding Fctr'!G2," Employer contribution rate (see the rate/advance rate notice)")</f>
        <v>2024 Employer contribution rate (see the rate/advance rate notice)</v>
      </c>
      <c r="C17" s="60">
        <v>8.1799999999999998E-2</v>
      </c>
    </row>
    <row r="18" spans="1:3" x14ac:dyDescent="0.2">
      <c r="B18" t="s">
        <v>78</v>
      </c>
      <c r="C18" s="61">
        <f ca="1">C15</f>
        <v>4.9975346813416622E-4</v>
      </c>
    </row>
    <row r="19" spans="1:3" ht="25.5" x14ac:dyDescent="0.2">
      <c r="B19" s="57" t="s">
        <v>1</v>
      </c>
      <c r="C19" s="62">
        <f ca="1">C17+C18</f>
        <v>8.229975346813416E-2</v>
      </c>
    </row>
    <row r="20" spans="1:3" hidden="1" x14ac:dyDescent="0.2">
      <c r="B20" t="s">
        <v>79</v>
      </c>
      <c r="C20" s="63">
        <f ca="1">ROUND(C19,4)</f>
        <v>8.2299999999999998E-2</v>
      </c>
    </row>
    <row r="22" spans="1:3" x14ac:dyDescent="0.2">
      <c r="B22" s="18" t="str">
        <f ca="1">CONCATENATE("Military service purchased during ",'Funding Fctr'!E1," will first be used")</f>
        <v>Military service purchased during 2023 will first be used</v>
      </c>
    </row>
    <row r="23" spans="1:3" x14ac:dyDescent="0.2">
      <c r="B23" s="18" t="str">
        <f ca="1">CONCATENATE("in calculating employer rates for ",'Funding Fctr'!I1," payroll reporting")</f>
        <v>in calculating employer rates for 2025 payroll reporting</v>
      </c>
    </row>
    <row r="25" spans="1:3" x14ac:dyDescent="0.2">
      <c r="B25" t="s">
        <v>125</v>
      </c>
    </row>
    <row r="26" spans="1:3" x14ac:dyDescent="0.2">
      <c r="B26" t="str">
        <f ca="1">CONCATENATE(IF(B4="a taxing body",'Funding Fctr'!C3,10)," year amortization for the employer's military cost,")</f>
        <v>18 year amortization for the employer's military cost,</v>
      </c>
    </row>
    <row r="27" spans="1:3" x14ac:dyDescent="0.2">
      <c r="B27" t="str">
        <f ca="1">CONCATENATE("your ",'Funding Fctr'!I1," employer rate would be higher by the following percent")</f>
        <v>your 2025 employer rate would be higher by the following percent</v>
      </c>
    </row>
    <row r="30" spans="1:3" x14ac:dyDescent="0.2">
      <c r="A30" s="4" t="s">
        <v>80</v>
      </c>
      <c r="B30" t="s">
        <v>70</v>
      </c>
      <c r="C30" s="50">
        <f>C7</f>
        <v>30186.489999999998</v>
      </c>
    </row>
    <row r="31" spans="1:3" x14ac:dyDescent="0.2">
      <c r="A31" s="4" t="s">
        <v>81</v>
      </c>
      <c r="B31" s="53" t="str">
        <f ca="1">'Funding Fctr'!A10</f>
        <v>Times 18 year Factor.</v>
      </c>
      <c r="C31" s="54">
        <f ca="1">IF(B4="a taxing body",'Funding Fctr'!B4,0.11511)</f>
        <v>8.2249558E-2</v>
      </c>
    </row>
    <row r="32" spans="1:3" x14ac:dyDescent="0.2">
      <c r="A32" s="4" t="s">
        <v>82</v>
      </c>
      <c r="B32" s="56" t="s">
        <v>83</v>
      </c>
      <c r="C32" s="50">
        <f ca="1">ROUND(C30*C31,2)</f>
        <v>2482.83</v>
      </c>
    </row>
    <row r="34" spans="1:3" ht="26.25" customHeight="1" x14ac:dyDescent="0.2">
      <c r="A34" s="4" t="s">
        <v>84</v>
      </c>
      <c r="B34" s="57" t="str">
        <f ca="1">'Funding Fctr'!A13</f>
        <v>Estimated annual covered payroll for 2023</v>
      </c>
      <c r="C34" s="50">
        <f>ROUND(C11*(1.04^2),2)</f>
        <v>5810797.5099999998</v>
      </c>
    </row>
    <row r="36" spans="1:3" x14ac:dyDescent="0.2">
      <c r="B36" s="18" t="str">
        <f ca="1">CONCATENATE("Estimated increase to Employer rate for ",'Funding Fctr'!I1)</f>
        <v>Estimated increase to Employer rate for 2025</v>
      </c>
    </row>
    <row r="37" spans="1:3" x14ac:dyDescent="0.2">
      <c r="A37" s="4" t="s">
        <v>85</v>
      </c>
      <c r="B37" t="s">
        <v>86</v>
      </c>
      <c r="C37" s="58">
        <f ca="1">C32/C34</f>
        <v>4.2727869896123775E-4</v>
      </c>
    </row>
    <row r="38" spans="1:3" x14ac:dyDescent="0.2">
      <c r="B38" t="s">
        <v>77</v>
      </c>
      <c r="C38" s="59">
        <f ca="1">C37</f>
        <v>4.2727869896123775E-4</v>
      </c>
    </row>
    <row r="39" spans="1:3" x14ac:dyDescent="0.2">
      <c r="C39" s="59"/>
    </row>
    <row r="40" spans="1:3" ht="18" x14ac:dyDescent="0.25">
      <c r="A40" s="64" t="s">
        <v>87</v>
      </c>
      <c r="B40" t="s">
        <v>88</v>
      </c>
      <c r="C40" s="59"/>
    </row>
    <row r="41" spans="1:3" ht="12.75" customHeight="1" x14ac:dyDescent="0.25">
      <c r="A41" s="64"/>
      <c r="B41" t="s">
        <v>89</v>
      </c>
      <c r="C41" s="59"/>
    </row>
  </sheetData>
  <sheetProtection algorithmName="SHA-512" hashValue="NqkeNK+3iF+sn3+2RTSuzrhbsaduKcGaovRBRVDxCfxvCl38RUE3XpNQzSkYy3FuUZZ7h0O+wYXca2S3wez3bw==" saltValue="cDa17y2lQIg2rndIplkDFQ==" spinCount="100000" sheet="1" objects="1" scenarios="1"/>
  <mergeCells count="1">
    <mergeCell ref="A5:E5"/>
  </mergeCells>
  <phoneticPr fontId="0" type="noConversion"/>
  <dataValidations count="1">
    <dataValidation type="list" allowBlank="1" showInputMessage="1" showErrorMessage="1" sqref="B4" xr:uid="{00000000-0002-0000-0400-000000000000}">
      <formula1>"a taxing body, NOT a taxing body"</formula1>
    </dataValidation>
  </dataValidations>
  <printOptions gridLines="1" gridLinesSet="0"/>
  <pageMargins left="0.75" right="0.75" top="1" bottom="1" header="0.5" footer="0.5"/>
  <pageSetup orientation="portrait" horizontalDpi="4294967292"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CA97-60A6-477C-A497-873359DD0704}">
  <dimension ref="A1:E54"/>
  <sheetViews>
    <sheetView workbookViewId="0">
      <selection activeCell="I25" sqref="I25"/>
    </sheetView>
  </sheetViews>
  <sheetFormatPr defaultColWidth="8.85546875" defaultRowHeight="12.75" x14ac:dyDescent="0.2"/>
  <sheetData>
    <row r="1" spans="1:5" x14ac:dyDescent="0.2">
      <c r="A1" s="18" t="s">
        <v>4</v>
      </c>
      <c r="D1" s="13">
        <v>7.2499999999999995E-2</v>
      </c>
      <c r="E1">
        <v>2019</v>
      </c>
    </row>
    <row r="3" spans="1:5" x14ac:dyDescent="0.2">
      <c r="B3" t="s">
        <v>121</v>
      </c>
      <c r="C3" t="s">
        <v>122</v>
      </c>
      <c r="D3" t="s">
        <v>5</v>
      </c>
      <c r="E3" t="s">
        <v>6</v>
      </c>
    </row>
    <row r="4" spans="1:5" x14ac:dyDescent="0.2">
      <c r="A4" t="s">
        <v>2</v>
      </c>
      <c r="B4" t="s">
        <v>7</v>
      </c>
      <c r="C4" t="s">
        <v>6</v>
      </c>
      <c r="D4" t="s">
        <v>8</v>
      </c>
      <c r="E4" t="s">
        <v>8</v>
      </c>
    </row>
    <row r="5" spans="1:5" x14ac:dyDescent="0.2">
      <c r="A5">
        <v>50</v>
      </c>
      <c r="B5" s="17">
        <v>200.17</v>
      </c>
      <c r="C5" s="17">
        <v>203.65</v>
      </c>
      <c r="D5" s="17">
        <v>205.49</v>
      </c>
      <c r="E5" s="17">
        <v>206.07</v>
      </c>
    </row>
    <row r="6" spans="1:5" x14ac:dyDescent="0.2">
      <c r="A6">
        <v>51</v>
      </c>
      <c r="B6" s="17">
        <v>198.17</v>
      </c>
      <c r="C6" s="17">
        <v>201.7</v>
      </c>
      <c r="D6" s="17">
        <v>203.65</v>
      </c>
      <c r="E6" s="17">
        <v>204.18</v>
      </c>
    </row>
    <row r="7" spans="1:5" x14ac:dyDescent="0.2">
      <c r="A7">
        <v>52</v>
      </c>
      <c r="B7" s="17">
        <v>196.08</v>
      </c>
      <c r="C7" s="17">
        <v>199.67</v>
      </c>
      <c r="D7" s="17">
        <v>201.73</v>
      </c>
      <c r="E7" s="17">
        <v>202.2</v>
      </c>
    </row>
    <row r="8" spans="1:5" x14ac:dyDescent="0.2">
      <c r="A8">
        <v>53</v>
      </c>
      <c r="B8" s="17">
        <v>193.91</v>
      </c>
      <c r="C8" s="17">
        <v>197.55</v>
      </c>
      <c r="D8" s="17">
        <v>199.73</v>
      </c>
      <c r="E8" s="17">
        <v>200.14</v>
      </c>
    </row>
    <row r="9" spans="1:5" x14ac:dyDescent="0.2">
      <c r="A9">
        <v>54</v>
      </c>
      <c r="B9" s="17">
        <v>191.65</v>
      </c>
      <c r="C9" s="17">
        <v>195.34</v>
      </c>
      <c r="D9" s="17">
        <v>197.63</v>
      </c>
      <c r="E9" s="17">
        <v>197.99</v>
      </c>
    </row>
    <row r="10" spans="1:5" x14ac:dyDescent="0.2">
      <c r="A10">
        <v>55</v>
      </c>
      <c r="B10" s="17">
        <v>189.29</v>
      </c>
      <c r="C10" s="17">
        <v>193.05</v>
      </c>
      <c r="D10" s="17">
        <v>195.45</v>
      </c>
      <c r="E10" s="17">
        <v>195.75</v>
      </c>
    </row>
    <row r="11" spans="1:5" x14ac:dyDescent="0.2">
      <c r="A11">
        <v>56</v>
      </c>
      <c r="B11" s="17">
        <v>186.84</v>
      </c>
      <c r="C11" s="17">
        <v>190.66</v>
      </c>
      <c r="D11" s="17">
        <v>193.18</v>
      </c>
      <c r="E11" s="17">
        <v>193.41</v>
      </c>
    </row>
    <row r="12" spans="1:5" x14ac:dyDescent="0.2">
      <c r="A12">
        <v>57</v>
      </c>
      <c r="B12" s="17">
        <v>184.29</v>
      </c>
      <c r="C12" s="17">
        <v>188.17</v>
      </c>
      <c r="D12" s="17">
        <v>190.8</v>
      </c>
      <c r="E12" s="17">
        <v>190.97</v>
      </c>
    </row>
    <row r="13" spans="1:5" x14ac:dyDescent="0.2">
      <c r="A13">
        <v>58</v>
      </c>
      <c r="B13" s="17">
        <v>181.64</v>
      </c>
      <c r="C13" s="17">
        <v>185.59</v>
      </c>
      <c r="D13" s="17">
        <v>188.33</v>
      </c>
      <c r="E13" s="17">
        <v>188.43</v>
      </c>
    </row>
    <row r="14" spans="1:5" x14ac:dyDescent="0.2">
      <c r="A14">
        <v>59</v>
      </c>
      <c r="B14" s="17">
        <v>178.89</v>
      </c>
      <c r="C14" s="17">
        <v>182.9</v>
      </c>
      <c r="D14" s="17">
        <v>185.76</v>
      </c>
      <c r="E14" s="17">
        <v>185.79</v>
      </c>
    </row>
    <row r="15" spans="1:5" x14ac:dyDescent="0.2">
      <c r="A15">
        <v>60</v>
      </c>
      <c r="B15" s="17">
        <v>176.04</v>
      </c>
      <c r="C15" s="17">
        <v>180.11</v>
      </c>
      <c r="D15" s="17">
        <v>183.09</v>
      </c>
      <c r="E15" s="17">
        <v>183.04</v>
      </c>
    </row>
    <row r="16" spans="1:5" x14ac:dyDescent="0.2">
      <c r="A16">
        <v>61</v>
      </c>
      <c r="B16" s="17">
        <v>173.09</v>
      </c>
      <c r="C16" s="17">
        <v>177.22</v>
      </c>
      <c r="D16" s="17">
        <v>180.33</v>
      </c>
      <c r="E16" s="17">
        <v>180.18</v>
      </c>
    </row>
    <row r="17" spans="1:5" x14ac:dyDescent="0.2">
      <c r="A17">
        <v>62</v>
      </c>
      <c r="B17" s="17">
        <v>170.06</v>
      </c>
      <c r="C17" s="17">
        <v>174.22</v>
      </c>
      <c r="D17" s="17">
        <v>177.47</v>
      </c>
      <c r="E17" s="17">
        <v>177.22</v>
      </c>
    </row>
    <row r="18" spans="1:5" x14ac:dyDescent="0.2">
      <c r="A18">
        <v>63</v>
      </c>
      <c r="B18" s="17">
        <v>166.93</v>
      </c>
      <c r="C18" s="17">
        <v>171.12</v>
      </c>
      <c r="D18" s="17">
        <v>174.52</v>
      </c>
      <c r="E18" s="17">
        <v>174.16</v>
      </c>
    </row>
    <row r="19" spans="1:5" x14ac:dyDescent="0.2">
      <c r="A19">
        <v>64</v>
      </c>
      <c r="B19" s="17">
        <v>163.72999999999999</v>
      </c>
      <c r="C19" s="17">
        <v>167.92</v>
      </c>
      <c r="D19" s="17">
        <v>171.47</v>
      </c>
      <c r="E19" s="17">
        <v>170.98</v>
      </c>
    </row>
    <row r="20" spans="1:5" x14ac:dyDescent="0.2">
      <c r="A20">
        <v>65</v>
      </c>
      <c r="B20" s="17">
        <v>160.44</v>
      </c>
      <c r="C20" s="17">
        <v>164.6</v>
      </c>
      <c r="D20" s="17">
        <v>168.34</v>
      </c>
      <c r="E20" s="17">
        <v>167.69</v>
      </c>
    </row>
    <row r="21" spans="1:5" x14ac:dyDescent="0.2">
      <c r="A21">
        <v>66</v>
      </c>
      <c r="B21" s="17">
        <v>157.07</v>
      </c>
      <c r="C21" s="17">
        <v>161.19</v>
      </c>
      <c r="D21" s="17">
        <v>165.11</v>
      </c>
      <c r="E21" s="17">
        <v>164.3</v>
      </c>
    </row>
    <row r="22" spans="1:5" x14ac:dyDescent="0.2">
      <c r="A22">
        <v>67</v>
      </c>
      <c r="B22" s="17">
        <v>153.63</v>
      </c>
      <c r="C22" s="17">
        <v>157.66</v>
      </c>
      <c r="D22" s="17">
        <v>161.80000000000001</v>
      </c>
      <c r="E22" s="17">
        <v>160.79</v>
      </c>
    </row>
    <row r="23" spans="1:5" x14ac:dyDescent="0.2">
      <c r="A23">
        <v>68</v>
      </c>
      <c r="B23" s="17">
        <v>150.11000000000001</v>
      </c>
      <c r="C23" s="17">
        <v>154.03</v>
      </c>
      <c r="D23" s="17">
        <v>158.4</v>
      </c>
      <c r="E23" s="17">
        <v>157.18</v>
      </c>
    </row>
    <row r="24" spans="1:5" x14ac:dyDescent="0.2">
      <c r="A24">
        <v>69</v>
      </c>
      <c r="B24" s="17">
        <v>146.51</v>
      </c>
      <c r="C24" s="17">
        <v>150.31</v>
      </c>
      <c r="D24" s="17">
        <v>154.91</v>
      </c>
      <c r="E24" s="17">
        <v>153.47</v>
      </c>
    </row>
    <row r="25" spans="1:5" x14ac:dyDescent="0.2">
      <c r="A25">
        <v>70</v>
      </c>
      <c r="B25" s="17">
        <v>142.83000000000001</v>
      </c>
      <c r="C25" s="17">
        <v>146.47999999999999</v>
      </c>
      <c r="D25" s="17">
        <v>151.33000000000001</v>
      </c>
      <c r="E25" s="17">
        <v>149.65</v>
      </c>
    </row>
    <row r="26" spans="1:5" x14ac:dyDescent="0.2">
      <c r="A26">
        <v>71</v>
      </c>
      <c r="B26" s="17">
        <v>139.08000000000001</v>
      </c>
      <c r="C26" s="17">
        <v>142.56</v>
      </c>
      <c r="D26" s="17">
        <v>147.66</v>
      </c>
      <c r="E26" s="17">
        <v>145.74</v>
      </c>
    </row>
    <row r="27" spans="1:5" x14ac:dyDescent="0.2">
      <c r="A27">
        <v>72</v>
      </c>
      <c r="B27" s="17">
        <v>135.26</v>
      </c>
      <c r="C27" s="17">
        <v>138.56</v>
      </c>
      <c r="D27" s="17">
        <v>143.91</v>
      </c>
      <c r="E27" s="17">
        <v>141.72999999999999</v>
      </c>
    </row>
    <row r="28" spans="1:5" x14ac:dyDescent="0.2">
      <c r="A28">
        <v>73</v>
      </c>
      <c r="B28" s="17">
        <v>131.37</v>
      </c>
      <c r="C28" s="17">
        <v>134.47</v>
      </c>
      <c r="D28" s="17">
        <v>140.07</v>
      </c>
      <c r="E28" s="17">
        <v>137.63</v>
      </c>
    </row>
    <row r="29" spans="1:5" x14ac:dyDescent="0.2">
      <c r="A29">
        <v>74</v>
      </c>
      <c r="B29" s="17">
        <v>127.42</v>
      </c>
      <c r="C29" s="17">
        <v>130.31</v>
      </c>
      <c r="D29" s="17">
        <v>136.16</v>
      </c>
      <c r="E29" s="17">
        <v>133.46</v>
      </c>
    </row>
    <row r="30" spans="1:5" x14ac:dyDescent="0.2">
      <c r="A30">
        <v>75</v>
      </c>
      <c r="B30" s="17">
        <v>123.42</v>
      </c>
      <c r="C30" s="17">
        <v>126.08</v>
      </c>
      <c r="D30" s="17">
        <v>132.16999999999999</v>
      </c>
      <c r="E30" s="17">
        <v>129.21</v>
      </c>
    </row>
    <row r="31" spans="1:5" x14ac:dyDescent="0.2">
      <c r="A31">
        <v>76</v>
      </c>
      <c r="B31" s="17">
        <v>119.37</v>
      </c>
      <c r="C31" s="17">
        <v>121.8</v>
      </c>
      <c r="D31" s="17">
        <v>128.12</v>
      </c>
      <c r="E31" s="17">
        <v>124.9</v>
      </c>
    </row>
    <row r="32" spans="1:5" x14ac:dyDescent="0.2">
      <c r="A32">
        <v>77</v>
      </c>
      <c r="B32" s="17">
        <v>115.27</v>
      </c>
      <c r="C32" s="17">
        <v>117.47</v>
      </c>
      <c r="D32" s="17">
        <v>124.02</v>
      </c>
      <c r="E32" s="17">
        <v>120.53</v>
      </c>
    </row>
    <row r="33" spans="1:5" x14ac:dyDescent="0.2">
      <c r="A33">
        <v>78</v>
      </c>
      <c r="B33" s="17">
        <v>111.15</v>
      </c>
      <c r="C33" s="17">
        <v>113.09</v>
      </c>
      <c r="D33" s="17">
        <v>119.86</v>
      </c>
      <c r="E33" s="17">
        <v>116.12</v>
      </c>
    </row>
    <row r="34" spans="1:5" x14ac:dyDescent="0.2">
      <c r="A34">
        <v>79</v>
      </c>
      <c r="B34" s="17">
        <v>107.01</v>
      </c>
      <c r="C34" s="17">
        <v>108.69</v>
      </c>
      <c r="D34" s="17">
        <v>115.67</v>
      </c>
      <c r="E34" s="17">
        <v>111.67</v>
      </c>
    </row>
    <row r="35" spans="1:5" x14ac:dyDescent="0.2">
      <c r="A35">
        <v>80</v>
      </c>
      <c r="B35" s="17">
        <v>102.86</v>
      </c>
      <c r="C35" s="17">
        <v>104.27</v>
      </c>
      <c r="D35" s="17">
        <v>111.44</v>
      </c>
      <c r="E35" s="17">
        <v>107.2</v>
      </c>
    </row>
    <row r="36" spans="1:5" x14ac:dyDescent="0.2">
      <c r="A36">
        <v>81</v>
      </c>
      <c r="B36" s="17">
        <v>98.71</v>
      </c>
      <c r="C36" s="17">
        <v>99.84</v>
      </c>
      <c r="D36" s="17">
        <v>107.2</v>
      </c>
      <c r="E36" s="17">
        <v>102.71</v>
      </c>
    </row>
    <row r="37" spans="1:5" x14ac:dyDescent="0.2">
      <c r="A37">
        <v>82</v>
      </c>
      <c r="B37" s="17">
        <v>94.57</v>
      </c>
      <c r="C37" s="17">
        <v>95.42</v>
      </c>
      <c r="D37" s="17">
        <v>102.95</v>
      </c>
      <c r="E37" s="17">
        <v>98.23</v>
      </c>
    </row>
    <row r="38" spans="1:5" x14ac:dyDescent="0.2">
      <c r="A38">
        <v>83</v>
      </c>
      <c r="B38" s="17">
        <v>90.45</v>
      </c>
      <c r="C38" s="17">
        <v>91.03</v>
      </c>
      <c r="D38" s="17">
        <v>98.69</v>
      </c>
      <c r="E38" s="17">
        <v>93.78</v>
      </c>
    </row>
    <row r="39" spans="1:5" x14ac:dyDescent="0.2">
      <c r="A39">
        <v>84</v>
      </c>
      <c r="B39" s="17">
        <v>86.36</v>
      </c>
      <c r="C39" s="17">
        <v>86.69</v>
      </c>
      <c r="D39" s="17">
        <v>94.45</v>
      </c>
      <c r="E39" s="17">
        <v>89.36</v>
      </c>
    </row>
    <row r="40" spans="1:5" x14ac:dyDescent="0.2">
      <c r="A40">
        <v>85</v>
      </c>
      <c r="B40" s="17">
        <v>82.32</v>
      </c>
      <c r="C40" s="17">
        <v>82.4</v>
      </c>
      <c r="D40" s="17">
        <v>90.25</v>
      </c>
      <c r="E40" s="17">
        <v>84.99</v>
      </c>
    </row>
    <row r="41" spans="1:5" x14ac:dyDescent="0.2">
      <c r="A41">
        <v>86</v>
      </c>
      <c r="B41" s="17">
        <v>78.349999999999994</v>
      </c>
      <c r="C41" s="17">
        <v>78.19</v>
      </c>
      <c r="D41" s="17">
        <v>86.08</v>
      </c>
      <c r="E41" s="17">
        <v>80.709999999999994</v>
      </c>
    </row>
    <row r="42" spans="1:5" x14ac:dyDescent="0.2">
      <c r="A42">
        <v>87</v>
      </c>
      <c r="B42" s="17">
        <v>74.45</v>
      </c>
      <c r="C42" s="17">
        <v>74.069999999999993</v>
      </c>
      <c r="D42" s="17">
        <v>81.98</v>
      </c>
      <c r="E42" s="17">
        <v>76.510000000000005</v>
      </c>
    </row>
    <row r="43" spans="1:5" x14ac:dyDescent="0.2">
      <c r="A43">
        <v>88</v>
      </c>
      <c r="B43" s="17">
        <v>70.650000000000006</v>
      </c>
      <c r="C43" s="17">
        <v>70.08</v>
      </c>
      <c r="D43" s="17">
        <v>77.95</v>
      </c>
      <c r="E43" s="17">
        <v>72.430000000000007</v>
      </c>
    </row>
    <row r="44" spans="1:5" x14ac:dyDescent="0.2">
      <c r="A44">
        <v>89</v>
      </c>
      <c r="B44" s="17">
        <v>66.98</v>
      </c>
      <c r="C44" s="17">
        <v>66.22</v>
      </c>
      <c r="D44" s="17">
        <v>74.03</v>
      </c>
      <c r="E44" s="17">
        <v>68.489999999999995</v>
      </c>
    </row>
    <row r="45" spans="1:5" x14ac:dyDescent="0.2">
      <c r="A45">
        <v>90</v>
      </c>
      <c r="B45" s="17">
        <v>63.44</v>
      </c>
      <c r="C45" s="17">
        <v>62.51</v>
      </c>
      <c r="D45" s="17">
        <v>70.23</v>
      </c>
      <c r="E45" s="17">
        <v>64.72</v>
      </c>
    </row>
    <row r="46" spans="1:5" x14ac:dyDescent="0.2">
      <c r="A46">
        <v>91</v>
      </c>
      <c r="B46" s="17">
        <v>60.08</v>
      </c>
      <c r="C46" s="17">
        <v>59</v>
      </c>
      <c r="D46" s="17">
        <v>66.58</v>
      </c>
      <c r="E46" s="17">
        <v>61.13</v>
      </c>
    </row>
    <row r="47" spans="1:5" x14ac:dyDescent="0.2">
      <c r="A47">
        <v>92</v>
      </c>
      <c r="B47" s="17">
        <v>56.89</v>
      </c>
      <c r="C47" s="17">
        <v>55.67</v>
      </c>
      <c r="D47" s="17">
        <v>63.09</v>
      </c>
      <c r="E47" s="17">
        <v>57.73</v>
      </c>
    </row>
    <row r="48" spans="1:5" x14ac:dyDescent="0.2">
      <c r="A48">
        <v>93</v>
      </c>
      <c r="B48" s="17">
        <v>53.87</v>
      </c>
      <c r="C48" s="17">
        <v>52.54</v>
      </c>
      <c r="D48" s="17">
        <v>59.76</v>
      </c>
      <c r="E48" s="17">
        <v>54.53</v>
      </c>
    </row>
    <row r="49" spans="1:5" x14ac:dyDescent="0.2">
      <c r="A49">
        <v>94</v>
      </c>
      <c r="B49" s="17">
        <v>51.01</v>
      </c>
      <c r="C49" s="17">
        <v>49.57</v>
      </c>
      <c r="D49" s="17">
        <v>56.59</v>
      </c>
      <c r="E49" s="17">
        <v>51.5</v>
      </c>
    </row>
    <row r="50" spans="1:5" x14ac:dyDescent="0.2">
      <c r="A50">
        <v>95</v>
      </c>
      <c r="B50" s="17">
        <v>48.29</v>
      </c>
      <c r="C50" s="17">
        <v>46.76</v>
      </c>
      <c r="D50" s="17">
        <v>53.56</v>
      </c>
      <c r="E50" s="17">
        <v>48.62</v>
      </c>
    </row>
    <row r="51" spans="1:5" x14ac:dyDescent="0.2">
      <c r="A51">
        <v>96</v>
      </c>
      <c r="B51" s="17">
        <v>45.68</v>
      </c>
      <c r="C51" s="17">
        <v>44.09</v>
      </c>
      <c r="D51" s="17">
        <v>50.65</v>
      </c>
      <c r="E51" s="17">
        <v>45.88</v>
      </c>
    </row>
    <row r="52" spans="1:5" x14ac:dyDescent="0.2">
      <c r="A52">
        <v>97</v>
      </c>
      <c r="B52" s="17">
        <v>43.21</v>
      </c>
      <c r="C52" s="17">
        <v>41.56</v>
      </c>
      <c r="D52" s="17">
        <v>47.9</v>
      </c>
      <c r="E52" s="17">
        <v>43.28</v>
      </c>
    </row>
    <row r="53" spans="1:5" x14ac:dyDescent="0.2">
      <c r="A53">
        <v>98</v>
      </c>
      <c r="B53" s="17">
        <v>40.89</v>
      </c>
      <c r="C53" s="17">
        <v>39.159999999999997</v>
      </c>
      <c r="D53" s="17">
        <v>45.3</v>
      </c>
      <c r="E53" s="17">
        <v>40.82</v>
      </c>
    </row>
    <row r="54" spans="1:5" x14ac:dyDescent="0.2">
      <c r="A54">
        <v>99</v>
      </c>
      <c r="B54" s="17">
        <v>38.68</v>
      </c>
      <c r="C54" s="17">
        <v>36.909999999999997</v>
      </c>
      <c r="D54" s="17">
        <v>42.83</v>
      </c>
      <c r="E54" s="17">
        <v>38.51</v>
      </c>
    </row>
  </sheetData>
  <sheetProtection algorithmName="SHA-512" hashValue="/rRtMsbIACJOplsGZk/TJ+jdjHPzsfZEQBUtK8MOl0nCsEPNpvwMOaZmS6C3ipmzKOPGyJHmE1yN7hk4BDL4eQ==" saltValue="kmNGu8PeYK9ArOYRE6qhfA==" spinCount="100000" sheet="1" objects="1" scenarios="1"/>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4"/>
  <sheetViews>
    <sheetView workbookViewId="0">
      <selection activeCell="E18" sqref="E18"/>
    </sheetView>
  </sheetViews>
  <sheetFormatPr defaultColWidth="8.85546875" defaultRowHeight="12.75" x14ac:dyDescent="0.2"/>
  <sheetData>
    <row r="1" spans="1:5" x14ac:dyDescent="0.2">
      <c r="A1" s="18" t="s">
        <v>4</v>
      </c>
      <c r="D1" s="13">
        <v>7.2499999999999995E-2</v>
      </c>
      <c r="E1">
        <v>2019</v>
      </c>
    </row>
    <row r="3" spans="1:5" x14ac:dyDescent="0.2">
      <c r="B3" t="s">
        <v>121</v>
      </c>
      <c r="C3" t="s">
        <v>122</v>
      </c>
      <c r="D3" t="s">
        <v>5</v>
      </c>
      <c r="E3" t="s">
        <v>6</v>
      </c>
    </row>
    <row r="4" spans="1:5" x14ac:dyDescent="0.2">
      <c r="A4" t="s">
        <v>2</v>
      </c>
      <c r="B4" t="s">
        <v>7</v>
      </c>
      <c r="C4" t="s">
        <v>6</v>
      </c>
      <c r="D4" t="s">
        <v>8</v>
      </c>
      <c r="E4" t="s">
        <v>8</v>
      </c>
    </row>
    <row r="5" spans="1:5" x14ac:dyDescent="0.2">
      <c r="A5">
        <v>50</v>
      </c>
      <c r="B5" s="17">
        <v>198.63</v>
      </c>
      <c r="C5" s="17">
        <v>203.62</v>
      </c>
      <c r="D5" s="17">
        <v>204.54</v>
      </c>
      <c r="E5" s="17">
        <v>206.08</v>
      </c>
    </row>
    <row r="6" spans="1:5" x14ac:dyDescent="0.2">
      <c r="A6">
        <v>51</v>
      </c>
      <c r="B6" s="17">
        <v>196.79</v>
      </c>
      <c r="C6" s="17">
        <v>201.86</v>
      </c>
      <c r="D6" s="17">
        <v>202.81</v>
      </c>
      <c r="E6" s="17">
        <v>204.34</v>
      </c>
    </row>
    <row r="7" spans="1:5" x14ac:dyDescent="0.2">
      <c r="A7">
        <v>52</v>
      </c>
      <c r="B7" s="17">
        <v>194.89</v>
      </c>
      <c r="C7" s="17">
        <v>200.01</v>
      </c>
      <c r="D7" s="17">
        <v>201.02</v>
      </c>
      <c r="E7" s="17">
        <v>202.52</v>
      </c>
    </row>
    <row r="8" spans="1:5" x14ac:dyDescent="0.2">
      <c r="A8">
        <v>53</v>
      </c>
      <c r="B8" s="17">
        <v>192.91</v>
      </c>
      <c r="C8" s="17">
        <v>198.07</v>
      </c>
      <c r="D8" s="17">
        <v>199.15</v>
      </c>
      <c r="E8" s="17">
        <v>200.62</v>
      </c>
    </row>
    <row r="9" spans="1:5" x14ac:dyDescent="0.2">
      <c r="A9">
        <v>54</v>
      </c>
      <c r="B9" s="17">
        <v>190.87</v>
      </c>
      <c r="C9" s="17">
        <v>196.05</v>
      </c>
      <c r="D9" s="17">
        <v>197.22</v>
      </c>
      <c r="E9" s="17">
        <v>198.62</v>
      </c>
    </row>
    <row r="10" spans="1:5" x14ac:dyDescent="0.2">
      <c r="A10">
        <v>55</v>
      </c>
      <c r="B10" s="17">
        <v>188.76</v>
      </c>
      <c r="C10" s="17">
        <v>193.94</v>
      </c>
      <c r="D10" s="17">
        <v>195.23</v>
      </c>
      <c r="E10" s="17">
        <v>196.54</v>
      </c>
    </row>
    <row r="11" spans="1:5" x14ac:dyDescent="0.2">
      <c r="A11">
        <v>56</v>
      </c>
      <c r="B11" s="17">
        <v>186.59</v>
      </c>
      <c r="C11" s="17">
        <v>191.73</v>
      </c>
      <c r="D11" s="17">
        <v>193.18</v>
      </c>
      <c r="E11" s="17">
        <v>194.36</v>
      </c>
    </row>
    <row r="12" spans="1:5" x14ac:dyDescent="0.2">
      <c r="A12">
        <v>57</v>
      </c>
      <c r="B12" s="17">
        <v>184.35</v>
      </c>
      <c r="C12" s="17">
        <v>189.42</v>
      </c>
      <c r="D12" s="17">
        <v>191.05</v>
      </c>
      <c r="E12" s="17">
        <v>192.08</v>
      </c>
    </row>
    <row r="13" spans="1:5" x14ac:dyDescent="0.2">
      <c r="A13">
        <v>58</v>
      </c>
      <c r="B13" s="17">
        <v>182.02</v>
      </c>
      <c r="C13" s="17">
        <v>187.01</v>
      </c>
      <c r="D13" s="17">
        <v>188.84</v>
      </c>
      <c r="E13" s="17">
        <v>189.69</v>
      </c>
    </row>
    <row r="14" spans="1:5" x14ac:dyDescent="0.2">
      <c r="A14">
        <v>59</v>
      </c>
      <c r="B14" s="17">
        <v>179.6</v>
      </c>
      <c r="C14" s="17">
        <v>184.48</v>
      </c>
      <c r="D14" s="17">
        <v>186.54</v>
      </c>
      <c r="E14" s="17">
        <v>187.19</v>
      </c>
    </row>
    <row r="15" spans="1:5" x14ac:dyDescent="0.2">
      <c r="A15">
        <v>60</v>
      </c>
      <c r="B15" s="17">
        <v>177.1</v>
      </c>
      <c r="C15" s="17">
        <v>181.83</v>
      </c>
      <c r="D15" s="17">
        <v>184.14</v>
      </c>
      <c r="E15" s="17">
        <v>184.57</v>
      </c>
    </row>
    <row r="16" spans="1:5" x14ac:dyDescent="0.2">
      <c r="A16">
        <v>61</v>
      </c>
      <c r="B16" s="17">
        <v>174.49</v>
      </c>
      <c r="C16" s="17">
        <v>179.05</v>
      </c>
      <c r="D16" s="17">
        <v>181.64</v>
      </c>
      <c r="E16" s="17">
        <v>181.83</v>
      </c>
    </row>
    <row r="17" spans="1:5" x14ac:dyDescent="0.2">
      <c r="A17">
        <v>62</v>
      </c>
      <c r="B17" s="17">
        <v>171.77</v>
      </c>
      <c r="C17" s="17">
        <v>176.14</v>
      </c>
      <c r="D17" s="17">
        <v>179.03</v>
      </c>
      <c r="E17" s="17">
        <v>178.96</v>
      </c>
    </row>
    <row r="18" spans="1:5" x14ac:dyDescent="0.2">
      <c r="A18">
        <v>63</v>
      </c>
      <c r="B18" s="17">
        <v>168.92</v>
      </c>
      <c r="C18" s="17">
        <v>173.09</v>
      </c>
      <c r="D18" s="17">
        <v>176.3</v>
      </c>
      <c r="E18" s="17">
        <v>175.94</v>
      </c>
    </row>
    <row r="19" spans="1:5" x14ac:dyDescent="0.2">
      <c r="A19">
        <v>64</v>
      </c>
      <c r="B19" s="17">
        <v>165.95</v>
      </c>
      <c r="C19" s="17">
        <v>169.9</v>
      </c>
      <c r="D19" s="17">
        <v>173.44</v>
      </c>
      <c r="E19" s="17">
        <v>172.79</v>
      </c>
    </row>
    <row r="20" spans="1:5" x14ac:dyDescent="0.2">
      <c r="A20">
        <v>65</v>
      </c>
      <c r="B20" s="17">
        <v>162.83000000000001</v>
      </c>
      <c r="C20" s="17">
        <v>166.56</v>
      </c>
      <c r="D20" s="17">
        <v>170.44</v>
      </c>
      <c r="E20" s="17">
        <v>169.49</v>
      </c>
    </row>
    <row r="21" spans="1:5" x14ac:dyDescent="0.2">
      <c r="A21">
        <v>66</v>
      </c>
      <c r="B21" s="17">
        <v>159.57</v>
      </c>
      <c r="C21" s="17">
        <v>163.06</v>
      </c>
      <c r="D21" s="17">
        <v>167.3</v>
      </c>
      <c r="E21" s="17">
        <v>166.03</v>
      </c>
    </row>
    <row r="22" spans="1:5" x14ac:dyDescent="0.2">
      <c r="A22">
        <v>67</v>
      </c>
      <c r="B22" s="17">
        <v>156.18</v>
      </c>
      <c r="C22" s="17">
        <v>159.43</v>
      </c>
      <c r="D22" s="17">
        <v>164.04</v>
      </c>
      <c r="E22" s="17">
        <v>162.44</v>
      </c>
    </row>
    <row r="23" spans="1:5" x14ac:dyDescent="0.2">
      <c r="A23">
        <v>68</v>
      </c>
      <c r="B23" s="17">
        <v>152.69</v>
      </c>
      <c r="C23" s="17">
        <v>155.68</v>
      </c>
      <c r="D23" s="17">
        <v>160.66</v>
      </c>
      <c r="E23" s="17">
        <v>158.72999999999999</v>
      </c>
    </row>
    <row r="24" spans="1:5" x14ac:dyDescent="0.2">
      <c r="A24">
        <v>69</v>
      </c>
      <c r="B24" s="17">
        <v>149.08000000000001</v>
      </c>
      <c r="C24" s="17">
        <v>151.80000000000001</v>
      </c>
      <c r="D24" s="17">
        <v>157.15</v>
      </c>
      <c r="E24" s="17">
        <v>154.88</v>
      </c>
    </row>
    <row r="25" spans="1:5" x14ac:dyDescent="0.2">
      <c r="A25">
        <v>70</v>
      </c>
      <c r="B25" s="17">
        <v>145.36000000000001</v>
      </c>
      <c r="C25" s="17">
        <v>147.80000000000001</v>
      </c>
      <c r="D25" s="17">
        <v>153.53</v>
      </c>
      <c r="E25" s="17">
        <v>150.91999999999999</v>
      </c>
    </row>
    <row r="26" spans="1:5" x14ac:dyDescent="0.2">
      <c r="A26">
        <v>71</v>
      </c>
      <c r="B26" s="17">
        <v>141.53</v>
      </c>
      <c r="C26" s="17">
        <v>143.69</v>
      </c>
      <c r="D26" s="17">
        <v>149.78</v>
      </c>
      <c r="E26" s="17">
        <v>146.83000000000001</v>
      </c>
    </row>
    <row r="27" spans="1:5" x14ac:dyDescent="0.2">
      <c r="A27">
        <v>72</v>
      </c>
      <c r="B27" s="17">
        <v>137.6</v>
      </c>
      <c r="C27" s="17">
        <v>139.47</v>
      </c>
      <c r="D27" s="17">
        <v>145.91999999999999</v>
      </c>
      <c r="E27" s="17">
        <v>142.63999999999999</v>
      </c>
    </row>
    <row r="28" spans="1:5" x14ac:dyDescent="0.2">
      <c r="A28">
        <v>73</v>
      </c>
      <c r="B28" s="17">
        <v>133.59</v>
      </c>
      <c r="C28" s="17">
        <v>135.15</v>
      </c>
      <c r="D28" s="17">
        <v>141.96</v>
      </c>
      <c r="E28" s="17">
        <v>138.33000000000001</v>
      </c>
    </row>
    <row r="29" spans="1:5" x14ac:dyDescent="0.2">
      <c r="A29">
        <v>74</v>
      </c>
      <c r="B29" s="17">
        <v>129.47999999999999</v>
      </c>
      <c r="C29" s="17">
        <v>130.74</v>
      </c>
      <c r="D29" s="17">
        <v>137.91</v>
      </c>
      <c r="E29" s="17">
        <v>133.93</v>
      </c>
    </row>
    <row r="30" spans="1:5" x14ac:dyDescent="0.2">
      <c r="A30">
        <v>75</v>
      </c>
      <c r="B30" s="17">
        <v>125.31</v>
      </c>
      <c r="C30" s="17">
        <v>126.25</v>
      </c>
      <c r="D30" s="17">
        <v>133.75</v>
      </c>
      <c r="E30" s="17">
        <v>129.44</v>
      </c>
    </row>
    <row r="31" spans="1:5" x14ac:dyDescent="0.2">
      <c r="A31">
        <v>76</v>
      </c>
      <c r="B31" s="17">
        <v>121.07</v>
      </c>
      <c r="C31" s="17">
        <v>121.69</v>
      </c>
      <c r="D31" s="17">
        <v>129.52000000000001</v>
      </c>
      <c r="E31" s="17">
        <v>124.88</v>
      </c>
    </row>
    <row r="32" spans="1:5" x14ac:dyDescent="0.2">
      <c r="A32">
        <v>77</v>
      </c>
      <c r="B32" s="17">
        <v>116.77</v>
      </c>
      <c r="C32" s="17">
        <v>117.08</v>
      </c>
      <c r="D32" s="17">
        <v>125.22</v>
      </c>
      <c r="E32" s="17">
        <v>120.25</v>
      </c>
    </row>
    <row r="33" spans="1:5" x14ac:dyDescent="0.2">
      <c r="A33">
        <v>78</v>
      </c>
      <c r="B33" s="17">
        <v>112.44</v>
      </c>
      <c r="C33" s="17">
        <v>112.41</v>
      </c>
      <c r="D33" s="17">
        <v>120.85</v>
      </c>
      <c r="E33" s="17">
        <v>115.57</v>
      </c>
    </row>
    <row r="34" spans="1:5" x14ac:dyDescent="0.2">
      <c r="A34">
        <v>79</v>
      </c>
      <c r="B34" s="17">
        <v>108.07</v>
      </c>
      <c r="C34" s="17">
        <v>107.72</v>
      </c>
      <c r="D34" s="17">
        <v>116.43</v>
      </c>
      <c r="E34" s="17">
        <v>110.85</v>
      </c>
    </row>
    <row r="35" spans="1:5" x14ac:dyDescent="0.2">
      <c r="A35">
        <v>80</v>
      </c>
      <c r="B35" s="17">
        <v>103.7</v>
      </c>
      <c r="C35" s="17">
        <v>103.02</v>
      </c>
      <c r="D35" s="17">
        <v>111.98</v>
      </c>
      <c r="E35" s="17">
        <v>106.11</v>
      </c>
    </row>
    <row r="36" spans="1:5" x14ac:dyDescent="0.2">
      <c r="A36">
        <v>81</v>
      </c>
      <c r="B36" s="17">
        <v>99.33</v>
      </c>
      <c r="C36" s="17">
        <v>98.32</v>
      </c>
      <c r="D36" s="17">
        <v>107.51</v>
      </c>
      <c r="E36" s="17">
        <v>101.37</v>
      </c>
    </row>
    <row r="37" spans="1:5" x14ac:dyDescent="0.2">
      <c r="A37">
        <v>82</v>
      </c>
      <c r="B37" s="17">
        <v>94.98</v>
      </c>
      <c r="C37" s="17">
        <v>93.64</v>
      </c>
      <c r="D37" s="17">
        <v>103.04</v>
      </c>
      <c r="E37" s="17">
        <v>96.65</v>
      </c>
    </row>
    <row r="38" spans="1:5" x14ac:dyDescent="0.2">
      <c r="A38">
        <v>83</v>
      </c>
      <c r="B38" s="17">
        <v>90.67</v>
      </c>
      <c r="C38" s="17">
        <v>89.02</v>
      </c>
      <c r="D38" s="17">
        <v>98.58</v>
      </c>
      <c r="E38" s="17">
        <v>91.98</v>
      </c>
    </row>
    <row r="39" spans="1:5" x14ac:dyDescent="0.2">
      <c r="A39">
        <v>84</v>
      </c>
      <c r="B39" s="17">
        <v>86.43</v>
      </c>
      <c r="C39" s="17">
        <v>84.47</v>
      </c>
      <c r="D39" s="17">
        <v>94.16</v>
      </c>
      <c r="E39" s="17">
        <v>87.37</v>
      </c>
    </row>
    <row r="40" spans="1:5" x14ac:dyDescent="0.2">
      <c r="A40">
        <v>85</v>
      </c>
      <c r="B40" s="17">
        <v>82.26</v>
      </c>
      <c r="C40" s="17">
        <v>80.010000000000005</v>
      </c>
      <c r="D40" s="17">
        <v>89.79</v>
      </c>
      <c r="E40" s="17">
        <v>82.86</v>
      </c>
    </row>
    <row r="41" spans="1:5" x14ac:dyDescent="0.2">
      <c r="A41">
        <v>86</v>
      </c>
      <c r="B41" s="17">
        <v>78.180000000000007</v>
      </c>
      <c r="C41" s="17">
        <v>75.680000000000007</v>
      </c>
      <c r="D41" s="17">
        <v>85.49</v>
      </c>
      <c r="E41" s="17">
        <v>78.47</v>
      </c>
    </row>
    <row r="42" spans="1:5" x14ac:dyDescent="0.2">
      <c r="A42">
        <v>87</v>
      </c>
      <c r="B42" s="17">
        <v>74.22</v>
      </c>
      <c r="C42" s="17">
        <v>71.5</v>
      </c>
      <c r="D42" s="17">
        <v>81.27</v>
      </c>
      <c r="E42" s="17">
        <v>74.23</v>
      </c>
    </row>
    <row r="43" spans="1:5" x14ac:dyDescent="0.2">
      <c r="A43">
        <v>88</v>
      </c>
      <c r="B43" s="17">
        <v>70.37</v>
      </c>
      <c r="C43" s="17">
        <v>67.5</v>
      </c>
      <c r="D43" s="17">
        <v>77.16</v>
      </c>
      <c r="E43" s="17">
        <v>70.16</v>
      </c>
    </row>
    <row r="44" spans="1:5" x14ac:dyDescent="0.2">
      <c r="A44">
        <v>89</v>
      </c>
      <c r="B44" s="17">
        <v>66.67</v>
      </c>
      <c r="C44" s="17">
        <v>63.7</v>
      </c>
      <c r="D44" s="17">
        <v>73.17</v>
      </c>
      <c r="E44" s="17">
        <v>66.28</v>
      </c>
    </row>
    <row r="45" spans="1:5" x14ac:dyDescent="0.2">
      <c r="A45">
        <v>90</v>
      </c>
      <c r="B45" s="17">
        <v>63.12</v>
      </c>
      <c r="C45" s="17">
        <v>60.12</v>
      </c>
      <c r="D45" s="17">
        <v>69.319999999999993</v>
      </c>
      <c r="E45" s="17">
        <v>62.63</v>
      </c>
    </row>
    <row r="46" spans="1:5" x14ac:dyDescent="0.2">
      <c r="A46">
        <v>91</v>
      </c>
      <c r="B46" s="17">
        <v>59.73</v>
      </c>
      <c r="C46" s="17">
        <v>56.77</v>
      </c>
      <c r="D46" s="17">
        <v>65.63</v>
      </c>
      <c r="E46" s="17">
        <v>59.19</v>
      </c>
    </row>
    <row r="47" spans="1:5" x14ac:dyDescent="0.2">
      <c r="A47">
        <v>92</v>
      </c>
      <c r="B47" s="17">
        <v>56.52</v>
      </c>
      <c r="C47" s="17">
        <v>53.63</v>
      </c>
      <c r="D47" s="17">
        <v>62.11</v>
      </c>
      <c r="E47" s="17">
        <v>55.98</v>
      </c>
    </row>
    <row r="48" spans="1:5" x14ac:dyDescent="0.2">
      <c r="A48">
        <v>93</v>
      </c>
      <c r="B48" s="17">
        <v>53.47</v>
      </c>
      <c r="C48" s="17">
        <v>50.68</v>
      </c>
      <c r="D48" s="17">
        <v>58.75</v>
      </c>
      <c r="E48" s="17">
        <v>52.94</v>
      </c>
    </row>
    <row r="49" spans="1:5" x14ac:dyDescent="0.2">
      <c r="A49">
        <v>94</v>
      </c>
      <c r="B49" s="17">
        <v>50.57</v>
      </c>
      <c r="C49" s="17">
        <v>47.89</v>
      </c>
      <c r="D49" s="17">
        <v>55.55</v>
      </c>
      <c r="E49" s="17">
        <v>50.05</v>
      </c>
    </row>
    <row r="50" spans="1:5" x14ac:dyDescent="0.2">
      <c r="A50">
        <v>95</v>
      </c>
      <c r="B50" s="17">
        <v>47.81</v>
      </c>
      <c r="C50" s="17">
        <v>45.21</v>
      </c>
      <c r="D50" s="17">
        <v>52.52</v>
      </c>
      <c r="E50" s="17">
        <v>47.28</v>
      </c>
    </row>
    <row r="51" spans="1:5" x14ac:dyDescent="0.2">
      <c r="A51">
        <v>96</v>
      </c>
      <c r="B51" s="17">
        <v>45.18</v>
      </c>
      <c r="C51" s="17">
        <v>42.63</v>
      </c>
      <c r="D51" s="17">
        <v>49.63</v>
      </c>
      <c r="E51" s="17">
        <v>44.61</v>
      </c>
    </row>
    <row r="52" spans="1:5" x14ac:dyDescent="0.2">
      <c r="A52">
        <v>97</v>
      </c>
      <c r="B52" s="17">
        <v>42.68</v>
      </c>
      <c r="C52" s="17">
        <v>40.15</v>
      </c>
      <c r="D52" s="17">
        <v>46.89</v>
      </c>
      <c r="E52" s="17">
        <v>42.04</v>
      </c>
    </row>
    <row r="53" spans="1:5" x14ac:dyDescent="0.2">
      <c r="A53">
        <v>98</v>
      </c>
      <c r="B53" s="17">
        <v>40.31</v>
      </c>
      <c r="C53" s="17">
        <v>37.79</v>
      </c>
      <c r="D53" s="17">
        <v>44.29</v>
      </c>
      <c r="E53" s="17">
        <v>39.590000000000003</v>
      </c>
    </row>
    <row r="54" spans="1:5" x14ac:dyDescent="0.2">
      <c r="A54">
        <v>99</v>
      </c>
      <c r="B54" s="17">
        <v>38.06</v>
      </c>
      <c r="C54" s="17">
        <v>35.549999999999997</v>
      </c>
      <c r="D54" s="17">
        <v>41.83</v>
      </c>
      <c r="E54" s="17">
        <v>37.26</v>
      </c>
    </row>
  </sheetData>
  <sheetProtection algorithmName="SHA-512" hashValue="a3Z1zOnGbhvD+iNZyRwWRAFUscDNR9xaHEDC5JG3c3p4ZMTB15AfMq2B2ptP78GFy2jFHD5veQups9kzz6u3Vg==" saltValue="mtAVH7Zvkkec1njSO+TSJg==" spinCount="100000" sheet="1" objects="1" scenarios="1"/>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9"/>
  <sheetViews>
    <sheetView workbookViewId="0">
      <selection activeCell="D32" sqref="D32"/>
    </sheetView>
  </sheetViews>
  <sheetFormatPr defaultColWidth="8.85546875" defaultRowHeight="12.75" x14ac:dyDescent="0.2"/>
  <cols>
    <col min="1" max="1" width="15.7109375" customWidth="1"/>
    <col min="2" max="2" width="12.140625" customWidth="1"/>
  </cols>
  <sheetData>
    <row r="1" spans="1:9" x14ac:dyDescent="0.2">
      <c r="A1" t="s">
        <v>90</v>
      </c>
      <c r="B1">
        <f ca="1">YEAR(TODAY())</f>
        <v>2023</v>
      </c>
      <c r="E1" t="str">
        <f ca="1">TEXT(B1,"####")</f>
        <v>2023</v>
      </c>
      <c r="F1">
        <f ca="1">B1+2</f>
        <v>2025</v>
      </c>
      <c r="I1" t="str">
        <f ca="1">TEXT(F1,"####")</f>
        <v>2025</v>
      </c>
    </row>
    <row r="2" spans="1:9" x14ac:dyDescent="0.2">
      <c r="A2" t="s">
        <v>91</v>
      </c>
      <c r="B2" t="str">
        <f ca="1">VLOOKUP(B$1,A$21:D$39,2)</f>
        <v>2025</v>
      </c>
      <c r="F2">
        <f ca="1">IF(MONTH(TODAY() &gt;4), B1-1,B1-2)</f>
        <v>2022</v>
      </c>
      <c r="G2" t="str">
        <f ca="1">TEXT(F2+2,"####")</f>
        <v>2024</v>
      </c>
      <c r="I2" t="str">
        <f ca="1">TEXT(F2,"####")</f>
        <v>2022</v>
      </c>
    </row>
    <row r="3" spans="1:9" x14ac:dyDescent="0.2">
      <c r="A3" t="s">
        <v>92</v>
      </c>
      <c r="B3">
        <f ca="1">VLOOKUP(B1,A$21:D$39,3)</f>
        <v>18</v>
      </c>
      <c r="C3" t="str">
        <f ca="1">TEXT(B3,"##")</f>
        <v>18</v>
      </c>
      <c r="F3">
        <f ca="1">F2+2</f>
        <v>2024</v>
      </c>
    </row>
    <row r="4" spans="1:9" x14ac:dyDescent="0.2">
      <c r="A4" t="s">
        <v>93</v>
      </c>
      <c r="B4">
        <f ca="1">VLOOKUP(B$1,A$21:D$39,4)</f>
        <v>8.2249558E-2</v>
      </c>
    </row>
    <row r="5" spans="1:9" x14ac:dyDescent="0.2">
      <c r="A5" t="s">
        <v>94</v>
      </c>
      <c r="B5">
        <f ca="1">IF('Rate Change'!B4="a taxing body", VLOOKUP(VALUE(B2),A21:D39,4),0.11511)</f>
        <v>8.8943258999999997E-2</v>
      </c>
      <c r="C5" t="str">
        <f ca="1">TEXT(B5,"##")</f>
        <v/>
      </c>
    </row>
    <row r="6" spans="1:9" x14ac:dyDescent="0.2">
      <c r="A6" t="s">
        <v>95</v>
      </c>
      <c r="B6">
        <f ca="1">IF('Rate Change'!B4="a taxing body",VLOOKUP(F2,A$21:D$39,3),10)</f>
        <v>19</v>
      </c>
      <c r="C6" t="str">
        <f ca="1">TEXT(B6,"##")</f>
        <v>19</v>
      </c>
    </row>
    <row r="7" spans="1:9" ht="15.75" x14ac:dyDescent="0.25">
      <c r="A7" s="49"/>
    </row>
    <row r="8" spans="1:9" x14ac:dyDescent="0.2">
      <c r="A8" t="str">
        <f ca="1">CONCATENATE("during ",B2," which will result in a ",C3, " year funding for the employer")</f>
        <v>during 2025 which will result in a 18 year funding for the employer</v>
      </c>
    </row>
    <row r="9" spans="1:9" x14ac:dyDescent="0.2">
      <c r="A9" s="53"/>
    </row>
    <row r="10" spans="1:9" x14ac:dyDescent="0.2">
      <c r="A10" t="str">
        <f ca="1">CONCATENATE("Times ",IF('Rate Change'!B4="a taxing body",C3,10)," year Factor.")</f>
        <v>Times 18 year Factor.</v>
      </c>
    </row>
    <row r="11" spans="1:9" x14ac:dyDescent="0.2">
      <c r="A11" t="str">
        <f ca="1">CONCATENATE("Times ",C6," year Amortization Factor")</f>
        <v>Times 19 year Amortization Factor</v>
      </c>
    </row>
    <row r="12" spans="1:9" x14ac:dyDescent="0.2">
      <c r="A12" t="str">
        <f ca="1">CONCATENATE("Annual covered payroll for ",I2)</f>
        <v>Annual covered payroll for 2022</v>
      </c>
    </row>
    <row r="13" spans="1:9" x14ac:dyDescent="0.2">
      <c r="A13" t="str">
        <f ca="1">CONCATENATE("Estimated annual covered payroll for ",E1)</f>
        <v>Estimated annual covered payroll for 2023</v>
      </c>
    </row>
    <row r="18" spans="1:10" x14ac:dyDescent="0.2">
      <c r="C18" t="s">
        <v>118</v>
      </c>
    </row>
    <row r="19" spans="1:10" x14ac:dyDescent="0.2">
      <c r="A19" s="18"/>
      <c r="B19" s="65" t="s">
        <v>96</v>
      </c>
      <c r="C19" s="65" t="s">
        <v>97</v>
      </c>
      <c r="D19" s="65" t="s">
        <v>97</v>
      </c>
      <c r="I19" s="65"/>
      <c r="J19" s="65"/>
    </row>
    <row r="20" spans="1:10" x14ac:dyDescent="0.2">
      <c r="A20" s="66" t="s">
        <v>98</v>
      </c>
      <c r="B20" s="67" t="s">
        <v>98</v>
      </c>
      <c r="C20" s="67" t="s">
        <v>99</v>
      </c>
      <c r="D20" s="67" t="s">
        <v>3</v>
      </c>
      <c r="I20" s="67"/>
      <c r="J20" s="67"/>
    </row>
    <row r="21" spans="1:10" x14ac:dyDescent="0.2">
      <c r="A21" s="53">
        <v>1</v>
      </c>
      <c r="B21" t="s">
        <v>100</v>
      </c>
      <c r="C21" s="65"/>
      <c r="D21" s="65"/>
    </row>
    <row r="22" spans="1:10" x14ac:dyDescent="0.2">
      <c r="A22" s="53">
        <v>2012</v>
      </c>
      <c r="B22" s="68" t="s">
        <v>101</v>
      </c>
      <c r="C22" s="65">
        <v>29</v>
      </c>
      <c r="D22" s="65"/>
      <c r="F22" s="53">
        <v>2001</v>
      </c>
      <c r="G22" s="68">
        <v>2002</v>
      </c>
    </row>
    <row r="23" spans="1:10" x14ac:dyDescent="0.2">
      <c r="A23">
        <v>2013</v>
      </c>
      <c r="B23" s="68" t="s">
        <v>102</v>
      </c>
      <c r="C23">
        <v>28</v>
      </c>
      <c r="F23">
        <v>2002</v>
      </c>
      <c r="G23" s="68">
        <v>2002</v>
      </c>
    </row>
    <row r="24" spans="1:10" x14ac:dyDescent="0.2">
      <c r="A24" s="53">
        <v>2014</v>
      </c>
      <c r="B24" s="68" t="s">
        <v>103</v>
      </c>
      <c r="C24">
        <v>27</v>
      </c>
      <c r="F24">
        <v>2003</v>
      </c>
      <c r="G24" s="68">
        <v>2003</v>
      </c>
    </row>
    <row r="25" spans="1:10" x14ac:dyDescent="0.2">
      <c r="A25">
        <v>2015</v>
      </c>
      <c r="B25" s="68" t="s">
        <v>104</v>
      </c>
      <c r="C25">
        <v>26</v>
      </c>
      <c r="F25">
        <v>2004</v>
      </c>
      <c r="G25" s="68">
        <v>2004</v>
      </c>
    </row>
    <row r="26" spans="1:10" x14ac:dyDescent="0.2">
      <c r="A26" s="53">
        <v>2016</v>
      </c>
      <c r="B26" s="68" t="s">
        <v>105</v>
      </c>
      <c r="C26">
        <v>25</v>
      </c>
      <c r="F26">
        <v>2005</v>
      </c>
      <c r="G26" s="68">
        <v>2005</v>
      </c>
    </row>
    <row r="27" spans="1:10" x14ac:dyDescent="0.2">
      <c r="A27">
        <v>2017</v>
      </c>
      <c r="B27" s="68" t="s">
        <v>106</v>
      </c>
      <c r="C27">
        <v>24</v>
      </c>
      <c r="D27">
        <v>7.0781622000000002E-2</v>
      </c>
      <c r="F27">
        <v>2006</v>
      </c>
      <c r="G27" s="68">
        <v>2006</v>
      </c>
    </row>
    <row r="28" spans="1:10" x14ac:dyDescent="0.2">
      <c r="A28" s="53">
        <v>2018</v>
      </c>
      <c r="B28" s="68" t="s">
        <v>107</v>
      </c>
      <c r="C28">
        <v>23</v>
      </c>
      <c r="D28">
        <v>7.0852995000000002E-2</v>
      </c>
      <c r="F28">
        <v>2007</v>
      </c>
      <c r="G28" s="68">
        <v>2006</v>
      </c>
    </row>
    <row r="29" spans="1:10" x14ac:dyDescent="0.2">
      <c r="A29">
        <v>2019</v>
      </c>
      <c r="B29" s="68" t="s">
        <v>108</v>
      </c>
      <c r="C29">
        <v>22</v>
      </c>
      <c r="D29">
        <v>7.2689119999999996E-2</v>
      </c>
      <c r="F29">
        <v>2008</v>
      </c>
      <c r="G29" s="68">
        <v>2006</v>
      </c>
    </row>
    <row r="30" spans="1:10" x14ac:dyDescent="0.2">
      <c r="A30" s="53">
        <v>2020</v>
      </c>
      <c r="B30" s="68" t="s">
        <v>109</v>
      </c>
      <c r="C30">
        <v>21</v>
      </c>
      <c r="D30">
        <v>7.4715054000000003E-2</v>
      </c>
      <c r="F30">
        <v>2009</v>
      </c>
      <c r="G30" s="68">
        <v>2006</v>
      </c>
    </row>
    <row r="31" spans="1:10" x14ac:dyDescent="0.2">
      <c r="A31">
        <v>2021</v>
      </c>
      <c r="B31" s="68" t="s">
        <v>110</v>
      </c>
      <c r="C31">
        <v>20</v>
      </c>
      <c r="D31">
        <v>7.6959406999999994E-2</v>
      </c>
      <c r="F31">
        <v>2010</v>
      </c>
      <c r="G31" s="68">
        <v>2006</v>
      </c>
    </row>
    <row r="32" spans="1:10" x14ac:dyDescent="0.2">
      <c r="A32" s="53">
        <v>2022</v>
      </c>
      <c r="B32" s="68" t="s">
        <v>111</v>
      </c>
      <c r="C32">
        <v>19</v>
      </c>
      <c r="D32">
        <v>9.4568029999999997E-2</v>
      </c>
      <c r="F32">
        <v>2011</v>
      </c>
      <c r="G32" s="68">
        <v>2006</v>
      </c>
    </row>
    <row r="33" spans="1:7" x14ac:dyDescent="0.2">
      <c r="A33">
        <v>2023</v>
      </c>
      <c r="B33" s="68" t="s">
        <v>112</v>
      </c>
      <c r="C33">
        <v>18</v>
      </c>
      <c r="D33">
        <v>8.2249558E-2</v>
      </c>
      <c r="F33">
        <v>2012</v>
      </c>
      <c r="G33" s="68">
        <v>2006</v>
      </c>
    </row>
    <row r="34" spans="1:7" x14ac:dyDescent="0.2">
      <c r="A34" s="53">
        <v>2024</v>
      </c>
      <c r="B34" s="68" t="s">
        <v>113</v>
      </c>
      <c r="C34">
        <v>17</v>
      </c>
      <c r="D34">
        <v>8.5389936E-2</v>
      </c>
      <c r="F34">
        <v>2013</v>
      </c>
      <c r="G34" s="68">
        <v>2006</v>
      </c>
    </row>
    <row r="35" spans="1:7" x14ac:dyDescent="0.2">
      <c r="A35">
        <v>2025</v>
      </c>
      <c r="B35" s="68" t="s">
        <v>114</v>
      </c>
      <c r="C35">
        <v>16</v>
      </c>
      <c r="D35">
        <v>8.8943258999999997E-2</v>
      </c>
      <c r="F35">
        <v>2014</v>
      </c>
      <c r="G35" s="68">
        <v>2006</v>
      </c>
    </row>
    <row r="36" spans="1:7" x14ac:dyDescent="0.2">
      <c r="A36" s="53">
        <v>2026</v>
      </c>
      <c r="B36" s="68" t="s">
        <v>115</v>
      </c>
      <c r="C36">
        <v>15</v>
      </c>
      <c r="D36">
        <v>9.2992264000000005E-2</v>
      </c>
      <c r="F36">
        <v>2015</v>
      </c>
      <c r="G36" s="68">
        <v>2006</v>
      </c>
    </row>
    <row r="37" spans="1:7" x14ac:dyDescent="0.2">
      <c r="A37">
        <v>2027</v>
      </c>
      <c r="B37" s="68" t="s">
        <v>116</v>
      </c>
      <c r="C37">
        <v>15</v>
      </c>
      <c r="D37">
        <v>9.2992264000000005E-2</v>
      </c>
      <c r="F37">
        <v>2016</v>
      </c>
      <c r="G37" s="68">
        <v>2006</v>
      </c>
    </row>
    <row r="38" spans="1:7" x14ac:dyDescent="0.2">
      <c r="A38" s="53">
        <v>2028</v>
      </c>
      <c r="B38" s="68" t="s">
        <v>117</v>
      </c>
      <c r="C38">
        <v>15</v>
      </c>
      <c r="D38">
        <v>9.2992264000000005E-2</v>
      </c>
      <c r="F38">
        <v>2017</v>
      </c>
      <c r="G38" s="68">
        <v>2006</v>
      </c>
    </row>
    <row r="39" spans="1:7" x14ac:dyDescent="0.2">
      <c r="A39">
        <v>9999</v>
      </c>
      <c r="B39" t="s">
        <v>100</v>
      </c>
    </row>
  </sheetData>
  <sheetProtection algorithmName="SHA-512" hashValue="AcnWppCZD6t2ZBx99XZK7W35Kc0oa5b66gwIUjfZFxmFcaO9sXD/gYYI01d/8tHaSk4jzcxuD3bNwMjtWwq1zw==" saltValue="FxMXkh5Jl/yS+6gVbAWt8Q==" spinCount="100000" sheet="1"/>
  <phoneticPr fontId="0" type="noConversion"/>
  <printOptions gridLines="1" gridLinesSet="0"/>
  <pageMargins left="0.75" right="0.75" top="1" bottom="1" header="0.5" footer="0.5"/>
  <pageSetup orientation="portrait"/>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PV Factor old</vt:lpstr>
      <vt:lpstr>calcs</vt:lpstr>
      <vt:lpstr>Entry</vt:lpstr>
      <vt:lpstr>Rate Change</vt:lpstr>
      <vt:lpstr>pv factors 2019</vt:lpstr>
      <vt:lpstr>pv factors</vt:lpstr>
      <vt:lpstr>Funding Fctr</vt:lpstr>
      <vt:lpstr>'Rate Change'!Print_Area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dc:creator>
  <cp:lastModifiedBy>Gregory Lambert</cp:lastModifiedBy>
  <cp:lastPrinted>2007-08-31T15:58:52Z</cp:lastPrinted>
  <dcterms:created xsi:type="dcterms:W3CDTF">2001-12-28T20:41:40Z</dcterms:created>
  <dcterms:modified xsi:type="dcterms:W3CDTF">2023-12-08T18:12:25Z</dcterms:modified>
</cp:coreProperties>
</file>